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Sophienstrasse\laufender Betrieb\"/>
    </mc:Choice>
  </mc:AlternateContent>
  <xr:revisionPtr revIDLastSave="0" documentId="13_ncr:1_{87918D53-EE4D-47E5-AC8E-F3393B1ACC38}" xr6:coauthVersionLast="47" xr6:coauthVersionMax="47" xr10:uidLastSave="{00000000-0000-0000-0000-000000000000}"/>
  <bookViews>
    <workbookView xWindow="-120" yWindow="-120" windowWidth="24240" windowHeight="13020" activeTab="1" xr2:uid="{2AD72716-1473-4D46-9FB6-BF3D7293E6BA}"/>
  </bookViews>
  <sheets>
    <sheet name="Zählerübersicht" sheetId="4" r:id="rId1"/>
    <sheet name="Zähler" sheetId="2" r:id="rId2"/>
    <sheet name="Monatsverbräuche" sheetId="5" r:id="rId3"/>
    <sheet name="Verbrauchsabrechnu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3" i="2" l="1"/>
  <c r="AB283" i="2"/>
  <c r="AD283" i="2"/>
  <c r="Y283" i="2"/>
  <c r="Z283" i="2"/>
  <c r="V283" i="2"/>
  <c r="W283" i="2"/>
  <c r="S283" i="2"/>
  <c r="P283" i="2"/>
  <c r="Q283" i="2" s="1"/>
  <c r="M283" i="2"/>
  <c r="N283" i="2"/>
  <c r="K283" i="2"/>
  <c r="I283" i="2"/>
  <c r="G283" i="2"/>
  <c r="E283" i="2"/>
  <c r="C283" i="2"/>
  <c r="AF282" i="2"/>
  <c r="AD282" i="2" s="1"/>
  <c r="AB282" i="2"/>
  <c r="Y282" i="2"/>
  <c r="Z282" i="2" s="1"/>
  <c r="V282" i="2"/>
  <c r="W282" i="2" s="1"/>
  <c r="S282" i="2"/>
  <c r="P282" i="2"/>
  <c r="Q282" i="2" s="1"/>
  <c r="M282" i="2"/>
  <c r="N282" i="2"/>
  <c r="K282" i="2"/>
  <c r="I282" i="2"/>
  <c r="G282" i="2"/>
  <c r="E282" i="2"/>
  <c r="C282" i="2"/>
  <c r="AF281" i="2"/>
  <c r="AB281" i="2"/>
  <c r="AD281" i="2"/>
  <c r="Y281" i="2"/>
  <c r="Z281" i="2" s="1"/>
  <c r="V281" i="2"/>
  <c r="W281" i="2" s="1"/>
  <c r="S281" i="2"/>
  <c r="P281" i="2"/>
  <c r="Q281" i="2"/>
  <c r="M281" i="2"/>
  <c r="N281" i="2"/>
  <c r="K281" i="2"/>
  <c r="I281" i="2"/>
  <c r="G281" i="2"/>
  <c r="E281" i="2"/>
  <c r="C281" i="2"/>
  <c r="AF280" i="2"/>
  <c r="AB280" i="2"/>
  <c r="Y280" i="2"/>
  <c r="V280" i="2"/>
  <c r="W280" i="2" s="1"/>
  <c r="S280" i="2"/>
  <c r="P280" i="2"/>
  <c r="Q280" i="2" s="1"/>
  <c r="M280" i="2"/>
  <c r="K280" i="2"/>
  <c r="I280" i="2"/>
  <c r="G280" i="2"/>
  <c r="N280" i="2" s="1"/>
  <c r="E280" i="2"/>
  <c r="C280" i="2"/>
  <c r="AD280" i="2" s="1"/>
  <c r="AF279" i="2"/>
  <c r="AB279" i="2"/>
  <c r="Y279" i="2"/>
  <c r="V279" i="2"/>
  <c r="W279" i="2"/>
  <c r="S279" i="2"/>
  <c r="P279" i="2"/>
  <c r="Q279" i="2" s="1"/>
  <c r="M279" i="2"/>
  <c r="N279" i="2" s="1"/>
  <c r="K279" i="2"/>
  <c r="I279" i="2"/>
  <c r="G279" i="2"/>
  <c r="E279" i="2"/>
  <c r="C279" i="2"/>
  <c r="AF278" i="2"/>
  <c r="AB278" i="2"/>
  <c r="Y278" i="2"/>
  <c r="V278" i="2"/>
  <c r="W278" i="2" s="1"/>
  <c r="S278" i="2"/>
  <c r="P278" i="2"/>
  <c r="Q278" i="2" s="1"/>
  <c r="M278" i="2"/>
  <c r="K278" i="2"/>
  <c r="I278" i="2"/>
  <c r="G278" i="2"/>
  <c r="E278" i="2"/>
  <c r="C278" i="2"/>
  <c r="AF277" i="2"/>
  <c r="AB277" i="2"/>
  <c r="Y277" i="2"/>
  <c r="V277" i="2"/>
  <c r="W277" i="2" s="1"/>
  <c r="S277" i="2"/>
  <c r="P277" i="2"/>
  <c r="Q277" i="2" s="1"/>
  <c r="M277" i="2"/>
  <c r="K277" i="2"/>
  <c r="I277" i="2"/>
  <c r="G277" i="2"/>
  <c r="E277" i="2"/>
  <c r="C277" i="2"/>
  <c r="AL10" i="5"/>
  <c r="AF275" i="2"/>
  <c r="AB275" i="2"/>
  <c r="Y275" i="2"/>
  <c r="V275" i="2"/>
  <c r="W275" i="2" s="1"/>
  <c r="S275" i="2"/>
  <c r="P275" i="2"/>
  <c r="Q275" i="2" s="1"/>
  <c r="M275" i="2"/>
  <c r="K275" i="2"/>
  <c r="I275" i="2"/>
  <c r="G275" i="2"/>
  <c r="E275" i="2"/>
  <c r="C275" i="2"/>
  <c r="AF274" i="2"/>
  <c r="AB274" i="2"/>
  <c r="Y274" i="2"/>
  <c r="V274" i="2"/>
  <c r="W274" i="2" s="1"/>
  <c r="S274" i="2"/>
  <c r="P274" i="2"/>
  <c r="Q274" i="2" s="1"/>
  <c r="M274" i="2"/>
  <c r="K274" i="2"/>
  <c r="I274" i="2"/>
  <c r="G274" i="2"/>
  <c r="E274" i="2"/>
  <c r="C274" i="2"/>
  <c r="AF273" i="2"/>
  <c r="AB273" i="2"/>
  <c r="Y273" i="2"/>
  <c r="V273" i="2"/>
  <c r="W273" i="2" s="1"/>
  <c r="S273" i="2"/>
  <c r="P273" i="2"/>
  <c r="Q273" i="2" s="1"/>
  <c r="M273" i="2"/>
  <c r="K273" i="2"/>
  <c r="I273" i="2"/>
  <c r="G273" i="2"/>
  <c r="E273" i="2"/>
  <c r="C273" i="2"/>
  <c r="AF272" i="2"/>
  <c r="AB272" i="2"/>
  <c r="Y272" i="2"/>
  <c r="V272" i="2"/>
  <c r="W272" i="2" s="1"/>
  <c r="S272" i="2"/>
  <c r="P272" i="2"/>
  <c r="Q272" i="2" s="1"/>
  <c r="M272" i="2"/>
  <c r="K272" i="2"/>
  <c r="I272" i="2"/>
  <c r="G272" i="2"/>
  <c r="E272" i="2"/>
  <c r="C272" i="2"/>
  <c r="AF271" i="2"/>
  <c r="AB271" i="2"/>
  <c r="Y271" i="2"/>
  <c r="V271" i="2"/>
  <c r="W271" i="2" s="1"/>
  <c r="S271" i="2"/>
  <c r="P271" i="2"/>
  <c r="Q271" i="2" s="1"/>
  <c r="M271" i="2"/>
  <c r="K271" i="2"/>
  <c r="I271" i="2"/>
  <c r="G271" i="2"/>
  <c r="E271" i="2"/>
  <c r="C271" i="2"/>
  <c r="AF270" i="2"/>
  <c r="AB270" i="2"/>
  <c r="Y270" i="2"/>
  <c r="V270" i="2"/>
  <c r="W270" i="2" s="1"/>
  <c r="S270" i="2"/>
  <c r="P270" i="2"/>
  <c r="Q270" i="2" s="1"/>
  <c r="M270" i="2"/>
  <c r="K270" i="2"/>
  <c r="I270" i="2"/>
  <c r="G270" i="2"/>
  <c r="E270" i="2"/>
  <c r="C270" i="2"/>
  <c r="AD279" i="2" l="1"/>
  <c r="AD278" i="2"/>
  <c r="N278" i="2"/>
  <c r="N270" i="2"/>
  <c r="N272" i="2"/>
  <c r="N274" i="2"/>
  <c r="N273" i="2"/>
  <c r="AD271" i="2"/>
  <c r="AD275" i="2"/>
  <c r="N277" i="2"/>
  <c r="AD270" i="2"/>
  <c r="AD274" i="2"/>
  <c r="N271" i="2"/>
  <c r="AD273" i="2"/>
  <c r="N275" i="2"/>
  <c r="AD272" i="2"/>
  <c r="AD277" i="2"/>
  <c r="AF269" i="2" l="1"/>
  <c r="AB269" i="2"/>
  <c r="Y269" i="2"/>
  <c r="V269" i="2"/>
  <c r="W269" i="2" s="1"/>
  <c r="S269" i="2"/>
  <c r="P269" i="2"/>
  <c r="Q269" i="2" s="1"/>
  <c r="M269" i="2"/>
  <c r="K269" i="2"/>
  <c r="I269" i="2"/>
  <c r="G269" i="2"/>
  <c r="E269" i="2"/>
  <c r="C269" i="2"/>
  <c r="AF268" i="2"/>
  <c r="AB268" i="2"/>
  <c r="Y268" i="2"/>
  <c r="V268" i="2"/>
  <c r="W268" i="2" s="1"/>
  <c r="S268" i="2"/>
  <c r="P268" i="2"/>
  <c r="Q268" i="2" s="1"/>
  <c r="M268" i="2"/>
  <c r="K268" i="2"/>
  <c r="I268" i="2"/>
  <c r="G268" i="2"/>
  <c r="E268" i="2"/>
  <c r="C268" i="2"/>
  <c r="AF267" i="2"/>
  <c r="AB267" i="2"/>
  <c r="Y267" i="2"/>
  <c r="V267" i="2"/>
  <c r="W267" i="2" s="1"/>
  <c r="S267" i="2"/>
  <c r="P267" i="2"/>
  <c r="Q267" i="2" s="1"/>
  <c r="M267" i="2"/>
  <c r="K267" i="2"/>
  <c r="I267" i="2"/>
  <c r="G267" i="2"/>
  <c r="E267" i="2"/>
  <c r="C267" i="2"/>
  <c r="AF266" i="2"/>
  <c r="AB266" i="2"/>
  <c r="Y266" i="2"/>
  <c r="V266" i="2"/>
  <c r="W266" i="2" s="1"/>
  <c r="S266" i="2"/>
  <c r="P266" i="2"/>
  <c r="Q266" i="2" s="1"/>
  <c r="M266" i="2"/>
  <c r="K266" i="2"/>
  <c r="I266" i="2"/>
  <c r="G266" i="2"/>
  <c r="E266" i="2"/>
  <c r="C266" i="2"/>
  <c r="AF265" i="2"/>
  <c r="AB265" i="2"/>
  <c r="Y265" i="2"/>
  <c r="V265" i="2"/>
  <c r="W265" i="2" s="1"/>
  <c r="S265" i="2"/>
  <c r="P265" i="2"/>
  <c r="Q265" i="2" s="1"/>
  <c r="M265" i="2"/>
  <c r="K265" i="2"/>
  <c r="I265" i="2"/>
  <c r="G265" i="2"/>
  <c r="E265" i="2"/>
  <c r="C265" i="2"/>
  <c r="AF264" i="2"/>
  <c r="AB264" i="2"/>
  <c r="Y264" i="2"/>
  <c r="V264" i="2"/>
  <c r="W264" i="2" s="1"/>
  <c r="S264" i="2"/>
  <c r="P264" i="2"/>
  <c r="Q264" i="2" s="1"/>
  <c r="M264" i="2"/>
  <c r="K264" i="2"/>
  <c r="I264" i="2"/>
  <c r="G264" i="2"/>
  <c r="E264" i="2"/>
  <c r="C264" i="2"/>
  <c r="AF263" i="2"/>
  <c r="AB263" i="2"/>
  <c r="Y263" i="2"/>
  <c r="V263" i="2"/>
  <c r="W263" i="2" s="1"/>
  <c r="S263" i="2"/>
  <c r="P263" i="2"/>
  <c r="Q263" i="2" s="1"/>
  <c r="M263" i="2"/>
  <c r="K263" i="2"/>
  <c r="I263" i="2"/>
  <c r="G263" i="2"/>
  <c r="E263" i="2"/>
  <c r="C263" i="2"/>
  <c r="S262" i="2"/>
  <c r="AF262" i="2"/>
  <c r="AB262" i="2"/>
  <c r="Y262" i="2"/>
  <c r="V262" i="2"/>
  <c r="W262" i="2" s="1"/>
  <c r="P262" i="2"/>
  <c r="Q262" i="2" s="1"/>
  <c r="M262" i="2"/>
  <c r="K262" i="2"/>
  <c r="I262" i="2"/>
  <c r="G262" i="2"/>
  <c r="E262" i="2"/>
  <c r="C262" i="2"/>
  <c r="AF261" i="2"/>
  <c r="AB261" i="2"/>
  <c r="Y261" i="2"/>
  <c r="V261" i="2"/>
  <c r="W261" i="2" s="1"/>
  <c r="S261" i="2"/>
  <c r="P261" i="2"/>
  <c r="Q261" i="2" s="1"/>
  <c r="M261" i="2"/>
  <c r="K261" i="2"/>
  <c r="I261" i="2"/>
  <c r="G261" i="2"/>
  <c r="E261" i="2"/>
  <c r="C261" i="2"/>
  <c r="AF260" i="2"/>
  <c r="AB260" i="2"/>
  <c r="Y260" i="2"/>
  <c r="V260" i="2"/>
  <c r="W260" i="2" s="1"/>
  <c r="S260" i="2"/>
  <c r="P260" i="2"/>
  <c r="Q260" i="2" s="1"/>
  <c r="M260" i="2"/>
  <c r="K260" i="2"/>
  <c r="I260" i="2"/>
  <c r="G260" i="2"/>
  <c r="E260" i="2"/>
  <c r="C260" i="2"/>
  <c r="N268" i="2" l="1"/>
  <c r="N269" i="2"/>
  <c r="N261" i="2"/>
  <c r="N262" i="2"/>
  <c r="N263" i="2"/>
  <c r="N265" i="2"/>
  <c r="N266" i="2"/>
  <c r="AD263" i="2"/>
  <c r="N267" i="2"/>
  <c r="AD265" i="2"/>
  <c r="AD269" i="2"/>
  <c r="AD261" i="2"/>
  <c r="AD264" i="2"/>
  <c r="AD267" i="2"/>
  <c r="AD262" i="2"/>
  <c r="N264" i="2"/>
  <c r="AD266" i="2"/>
  <c r="AD268" i="2"/>
  <c r="N260" i="2"/>
  <c r="AD260" i="2"/>
  <c r="I253" i="2" l="1"/>
  <c r="I254" i="2"/>
  <c r="I255" i="2"/>
  <c r="I256" i="2"/>
  <c r="I257" i="2"/>
  <c r="I258" i="2"/>
  <c r="I259" i="2"/>
  <c r="I252" i="2"/>
  <c r="AF252" i="2"/>
  <c r="AF253" i="2"/>
  <c r="AF254" i="2"/>
  <c r="AF255" i="2"/>
  <c r="AF256" i="2"/>
  <c r="AF257" i="2"/>
  <c r="AF258" i="2"/>
  <c r="AF259" i="2"/>
  <c r="AB253" i="2"/>
  <c r="AB254" i="2"/>
  <c r="AB255" i="2"/>
  <c r="AB256" i="2"/>
  <c r="AB257" i="2"/>
  <c r="AB258" i="2"/>
  <c r="AB259" i="2"/>
  <c r="AB252" i="2"/>
  <c r="Y253" i="2"/>
  <c r="Y254" i="2"/>
  <c r="Y255" i="2"/>
  <c r="Y256" i="2"/>
  <c r="Y257" i="2"/>
  <c r="Y258" i="2"/>
  <c r="Y259" i="2"/>
  <c r="Y252" i="2"/>
  <c r="V253" i="2"/>
  <c r="W253" i="2" s="1"/>
  <c r="V254" i="2"/>
  <c r="W254" i="2" s="1"/>
  <c r="V255" i="2"/>
  <c r="W255" i="2" s="1"/>
  <c r="V256" i="2"/>
  <c r="W256" i="2" s="1"/>
  <c r="V257" i="2"/>
  <c r="W257" i="2" s="1"/>
  <c r="V258" i="2"/>
  <c r="W258" i="2" s="1"/>
  <c r="V259" i="2"/>
  <c r="W259" i="2" s="1"/>
  <c r="V252" i="2"/>
  <c r="W252" i="2" s="1"/>
  <c r="S253" i="2"/>
  <c r="S254" i="2"/>
  <c r="S255" i="2"/>
  <c r="S256" i="2"/>
  <c r="S257" i="2"/>
  <c r="S258" i="2"/>
  <c r="S259" i="2"/>
  <c r="S252" i="2"/>
  <c r="P253" i="2"/>
  <c r="Q253" i="2" s="1"/>
  <c r="P254" i="2"/>
  <c r="Q254" i="2" s="1"/>
  <c r="P255" i="2"/>
  <c r="Q255" i="2" s="1"/>
  <c r="P256" i="2"/>
  <c r="Q256" i="2" s="1"/>
  <c r="P257" i="2"/>
  <c r="Q257" i="2" s="1"/>
  <c r="P258" i="2"/>
  <c r="Q258" i="2" s="1"/>
  <c r="P259" i="2"/>
  <c r="Q259" i="2" s="1"/>
  <c r="P252" i="2"/>
  <c r="Q252" i="2" s="1"/>
  <c r="M253" i="2"/>
  <c r="M254" i="2"/>
  <c r="M255" i="2"/>
  <c r="M256" i="2"/>
  <c r="M257" i="2"/>
  <c r="M258" i="2"/>
  <c r="M259" i="2"/>
  <c r="M252" i="2"/>
  <c r="K253" i="2"/>
  <c r="K254" i="2"/>
  <c r="K255" i="2"/>
  <c r="K256" i="2"/>
  <c r="K257" i="2"/>
  <c r="K258" i="2"/>
  <c r="K259" i="2"/>
  <c r="K252" i="2"/>
  <c r="E253" i="2"/>
  <c r="E254" i="2"/>
  <c r="E255" i="2"/>
  <c r="E256" i="2"/>
  <c r="E257" i="2"/>
  <c r="E258" i="2"/>
  <c r="E259" i="2"/>
  <c r="E252" i="2"/>
  <c r="G253" i="2"/>
  <c r="N253" i="2" s="1"/>
  <c r="G254" i="2"/>
  <c r="N254" i="2" s="1"/>
  <c r="G255" i="2"/>
  <c r="N255" i="2" s="1"/>
  <c r="G256" i="2"/>
  <c r="N256" i="2" s="1"/>
  <c r="G257" i="2"/>
  <c r="N257" i="2" s="1"/>
  <c r="G258" i="2"/>
  <c r="G259" i="2"/>
  <c r="N259" i="2" s="1"/>
  <c r="G252" i="2"/>
  <c r="C259" i="2"/>
  <c r="C253" i="2"/>
  <c r="C254" i="2"/>
  <c r="C255" i="2"/>
  <c r="C256" i="2"/>
  <c r="C257" i="2"/>
  <c r="C258" i="2"/>
  <c r="C252" i="2"/>
  <c r="AF251" i="2"/>
  <c r="AB251" i="2"/>
  <c r="Y251" i="2"/>
  <c r="V251" i="2"/>
  <c r="W251" i="2" s="1"/>
  <c r="S251" i="2"/>
  <c r="P251" i="2"/>
  <c r="Q251" i="2" s="1"/>
  <c r="M251" i="2"/>
  <c r="K251" i="2"/>
  <c r="I251" i="2"/>
  <c r="G251" i="2"/>
  <c r="E251" i="2"/>
  <c r="C251" i="2"/>
  <c r="AF250" i="2"/>
  <c r="AB250" i="2"/>
  <c r="Y250" i="2"/>
  <c r="V250" i="2"/>
  <c r="W250" i="2" s="1"/>
  <c r="S250" i="2"/>
  <c r="P250" i="2"/>
  <c r="Q250" i="2" s="1"/>
  <c r="M250" i="2"/>
  <c r="K250" i="2"/>
  <c r="I250" i="2"/>
  <c r="G250" i="2"/>
  <c r="E250" i="2"/>
  <c r="C250" i="2"/>
  <c r="N258" i="2" l="1"/>
  <c r="N250" i="2"/>
  <c r="AD255" i="2"/>
  <c r="AD252" i="2"/>
  <c r="AD256" i="2"/>
  <c r="N251" i="2"/>
  <c r="AD258" i="2"/>
  <c r="AD254" i="2"/>
  <c r="AD259" i="2"/>
  <c r="AD257" i="2"/>
  <c r="AD253" i="2"/>
  <c r="N252" i="2"/>
  <c r="AD250" i="2"/>
  <c r="AD251" i="2"/>
  <c r="AF249" i="2"/>
  <c r="AB249" i="2"/>
  <c r="Y249" i="2"/>
  <c r="V249" i="2"/>
  <c r="W249" i="2" s="1"/>
  <c r="S249" i="2"/>
  <c r="P249" i="2"/>
  <c r="Q249" i="2" s="1"/>
  <c r="M249" i="2"/>
  <c r="K249" i="2"/>
  <c r="I249" i="2"/>
  <c r="G249" i="2"/>
  <c r="E249" i="2"/>
  <c r="C249" i="2"/>
  <c r="AF248" i="2"/>
  <c r="AB248" i="2"/>
  <c r="Y248" i="2"/>
  <c r="V248" i="2"/>
  <c r="W248" i="2" s="1"/>
  <c r="S248" i="2"/>
  <c r="P248" i="2"/>
  <c r="Q248" i="2" s="1"/>
  <c r="M248" i="2"/>
  <c r="K248" i="2"/>
  <c r="I248" i="2"/>
  <c r="G248" i="2"/>
  <c r="E248" i="2"/>
  <c r="C248" i="2"/>
  <c r="AF247" i="2"/>
  <c r="AB247" i="2"/>
  <c r="Y247" i="2"/>
  <c r="V247" i="2"/>
  <c r="W247" i="2" s="1"/>
  <c r="S247" i="2"/>
  <c r="P247" i="2"/>
  <c r="Q247" i="2" s="1"/>
  <c r="M247" i="2"/>
  <c r="K247" i="2"/>
  <c r="I247" i="2"/>
  <c r="G247" i="2"/>
  <c r="E247" i="2"/>
  <c r="C247" i="2"/>
  <c r="AF246" i="2"/>
  <c r="AB246" i="2"/>
  <c r="Y246" i="2"/>
  <c r="V246" i="2"/>
  <c r="W246" i="2" s="1"/>
  <c r="S246" i="2"/>
  <c r="S276" i="2" s="1"/>
  <c r="P246" i="2"/>
  <c r="M246" i="2"/>
  <c r="K246" i="2"/>
  <c r="K276" i="2" s="1"/>
  <c r="I246" i="2"/>
  <c r="I276" i="2" s="1"/>
  <c r="G246" i="2"/>
  <c r="E246" i="2"/>
  <c r="C246" i="2"/>
  <c r="C276" i="2" s="1"/>
  <c r="M245" i="2"/>
  <c r="AF245" i="2"/>
  <c r="AB245" i="2"/>
  <c r="Y245" i="2"/>
  <c r="V245" i="2"/>
  <c r="S245" i="2"/>
  <c r="P245" i="2"/>
  <c r="Q245" i="2" s="1"/>
  <c r="K245" i="2"/>
  <c r="I245" i="2"/>
  <c r="G245" i="2"/>
  <c r="E245" i="2"/>
  <c r="C245" i="2"/>
  <c r="N249" i="2" l="1"/>
  <c r="W276" i="2"/>
  <c r="N247" i="2"/>
  <c r="W245" i="2"/>
  <c r="V276" i="2"/>
  <c r="Y276" i="2"/>
  <c r="E276" i="2"/>
  <c r="M276" i="2"/>
  <c r="AD248" i="2"/>
  <c r="AD246" i="2"/>
  <c r="AD247" i="2"/>
  <c r="AD249" i="2"/>
  <c r="N245" i="2"/>
  <c r="AF276" i="2"/>
  <c r="G276" i="2"/>
  <c r="Q246" i="2"/>
  <c r="Q276" i="2" s="1"/>
  <c r="P276" i="2"/>
  <c r="AB276" i="2"/>
  <c r="N248" i="2"/>
  <c r="N246" i="2"/>
  <c r="AD245" i="2"/>
  <c r="N276" i="2" l="1"/>
  <c r="AD276" i="2"/>
  <c r="AF243" i="2"/>
  <c r="AB243" i="2"/>
  <c r="Y243" i="2"/>
  <c r="V243" i="2"/>
  <c r="W243" i="2" s="1"/>
  <c r="S243" i="2"/>
  <c r="P243" i="2"/>
  <c r="Q243" i="2" s="1"/>
  <c r="M243" i="2"/>
  <c r="K243" i="2"/>
  <c r="I243" i="2"/>
  <c r="G243" i="2"/>
  <c r="E243" i="2"/>
  <c r="C243" i="2"/>
  <c r="E242" i="2"/>
  <c r="C242" i="2"/>
  <c r="AF242" i="2"/>
  <c r="AB242" i="2"/>
  <c r="Y242" i="2"/>
  <c r="V242" i="2"/>
  <c r="W242" i="2" s="1"/>
  <c r="S242" i="2"/>
  <c r="P242" i="2"/>
  <c r="Q242" i="2" s="1"/>
  <c r="M242" i="2"/>
  <c r="K242" i="2"/>
  <c r="I242" i="2"/>
  <c r="G242" i="2"/>
  <c r="AF241" i="2"/>
  <c r="AB241" i="2"/>
  <c r="Y241" i="2"/>
  <c r="V241" i="2"/>
  <c r="W241" i="2" s="1"/>
  <c r="S241" i="2"/>
  <c r="P241" i="2"/>
  <c r="Q241" i="2" s="1"/>
  <c r="M241" i="2"/>
  <c r="K241" i="2"/>
  <c r="I241" i="2"/>
  <c r="G241" i="2"/>
  <c r="E241" i="2"/>
  <c r="C241" i="2"/>
  <c r="AF240" i="2"/>
  <c r="AB240" i="2"/>
  <c r="Y240" i="2"/>
  <c r="V240" i="2"/>
  <c r="W240" i="2" s="1"/>
  <c r="S240" i="2"/>
  <c r="P240" i="2"/>
  <c r="Q240" i="2" s="1"/>
  <c r="M240" i="2"/>
  <c r="K240" i="2"/>
  <c r="I240" i="2"/>
  <c r="G240" i="2"/>
  <c r="E240" i="2"/>
  <c r="C240" i="2"/>
  <c r="AF239" i="2"/>
  <c r="AB239" i="2"/>
  <c r="Y239" i="2"/>
  <c r="V239" i="2"/>
  <c r="W239" i="2" s="1"/>
  <c r="S239" i="2"/>
  <c r="P239" i="2"/>
  <c r="Q239" i="2" s="1"/>
  <c r="M239" i="2"/>
  <c r="K239" i="2"/>
  <c r="I239" i="2"/>
  <c r="G239" i="2"/>
  <c r="E239" i="2"/>
  <c r="C239" i="2"/>
  <c r="AF238" i="2"/>
  <c r="AB238" i="2"/>
  <c r="Y238" i="2"/>
  <c r="V238" i="2"/>
  <c r="W238" i="2" s="1"/>
  <c r="S238" i="2"/>
  <c r="P238" i="2"/>
  <c r="Q238" i="2" s="1"/>
  <c r="M238" i="2"/>
  <c r="K238" i="2"/>
  <c r="I238" i="2"/>
  <c r="G238" i="2"/>
  <c r="E238" i="2"/>
  <c r="C238" i="2"/>
  <c r="AF237" i="2"/>
  <c r="AB237" i="2"/>
  <c r="Y237" i="2"/>
  <c r="V237" i="2"/>
  <c r="W237" i="2" s="1"/>
  <c r="S237" i="2"/>
  <c r="P237" i="2"/>
  <c r="Q237" i="2" s="1"/>
  <c r="M237" i="2"/>
  <c r="K237" i="2"/>
  <c r="I237" i="2"/>
  <c r="G237" i="2"/>
  <c r="E237" i="2"/>
  <c r="C237" i="2"/>
  <c r="AF236" i="2"/>
  <c r="AB236" i="2"/>
  <c r="Y236" i="2"/>
  <c r="V236" i="2"/>
  <c r="W236" i="2" s="1"/>
  <c r="S236" i="2"/>
  <c r="P236" i="2"/>
  <c r="Q236" i="2" s="1"/>
  <c r="M236" i="2"/>
  <c r="K236" i="2"/>
  <c r="I236" i="2"/>
  <c r="G236" i="2"/>
  <c r="E236" i="2"/>
  <c r="C236" i="2"/>
  <c r="AF235" i="2"/>
  <c r="AB235" i="2"/>
  <c r="Y235" i="2"/>
  <c r="V235" i="2"/>
  <c r="W235" i="2" s="1"/>
  <c r="S235" i="2"/>
  <c r="P235" i="2"/>
  <c r="Q235" i="2" s="1"/>
  <c r="M235" i="2"/>
  <c r="K235" i="2"/>
  <c r="I235" i="2"/>
  <c r="G235" i="2"/>
  <c r="E235" i="2"/>
  <c r="C235" i="2"/>
  <c r="AF234" i="2"/>
  <c r="AB234" i="2"/>
  <c r="Y234" i="2"/>
  <c r="V234" i="2"/>
  <c r="W234" i="2" s="1"/>
  <c r="S234" i="2"/>
  <c r="P234" i="2"/>
  <c r="Q234" i="2" s="1"/>
  <c r="M234" i="2"/>
  <c r="K234" i="2"/>
  <c r="I234" i="2"/>
  <c r="G234" i="2"/>
  <c r="E234" i="2"/>
  <c r="C234" i="2"/>
  <c r="AF233" i="2"/>
  <c r="AB233" i="2"/>
  <c r="Y233" i="2"/>
  <c r="V233" i="2"/>
  <c r="W233" i="2" s="1"/>
  <c r="S233" i="2"/>
  <c r="P233" i="2"/>
  <c r="Q233" i="2" s="1"/>
  <c r="M233" i="2"/>
  <c r="K233" i="2"/>
  <c r="I233" i="2"/>
  <c r="G233" i="2"/>
  <c r="E233" i="2"/>
  <c r="C233" i="2"/>
  <c r="AF232" i="2"/>
  <c r="AB232" i="2"/>
  <c r="Y232" i="2"/>
  <c r="V232" i="2"/>
  <c r="W232" i="2" s="1"/>
  <c r="S232" i="2"/>
  <c r="P232" i="2"/>
  <c r="Q232" i="2" s="1"/>
  <c r="M232" i="2"/>
  <c r="K232" i="2"/>
  <c r="I232" i="2"/>
  <c r="G232" i="2"/>
  <c r="E232" i="2"/>
  <c r="C232" i="2"/>
  <c r="N239" i="2" l="1"/>
  <c r="N240" i="2"/>
  <c r="N241" i="2"/>
  <c r="N242" i="2"/>
  <c r="N238" i="2"/>
  <c r="AD241" i="2"/>
  <c r="AD240" i="2"/>
  <c r="N243" i="2"/>
  <c r="AD237" i="2"/>
  <c r="AD238" i="2"/>
  <c r="AD239" i="2"/>
  <c r="N237" i="2"/>
  <c r="AD243" i="2"/>
  <c r="AD242" i="2"/>
  <c r="N232" i="2"/>
  <c r="N233" i="2"/>
  <c r="N236" i="2"/>
  <c r="N234" i="2"/>
  <c r="N235" i="2"/>
  <c r="AD234" i="2"/>
  <c r="AD232" i="2"/>
  <c r="AD233" i="2"/>
  <c r="AD235" i="2"/>
  <c r="AD236" i="2"/>
  <c r="AF231" i="2"/>
  <c r="AB231" i="2"/>
  <c r="Y231" i="2"/>
  <c r="V231" i="2"/>
  <c r="W231" i="2" s="1"/>
  <c r="S231" i="2"/>
  <c r="P231" i="2"/>
  <c r="Q231" i="2" s="1"/>
  <c r="M231" i="2"/>
  <c r="K231" i="2"/>
  <c r="I231" i="2"/>
  <c r="G231" i="2"/>
  <c r="E231" i="2"/>
  <c r="C231" i="2"/>
  <c r="AF230" i="2"/>
  <c r="AB230" i="2"/>
  <c r="Y230" i="2"/>
  <c r="V230" i="2"/>
  <c r="W230" i="2" s="1"/>
  <c r="S230" i="2"/>
  <c r="P230" i="2"/>
  <c r="Q230" i="2" s="1"/>
  <c r="M230" i="2"/>
  <c r="K230" i="2"/>
  <c r="I230" i="2"/>
  <c r="G230" i="2"/>
  <c r="E230" i="2"/>
  <c r="C230" i="2"/>
  <c r="N231" i="2" l="1"/>
  <c r="N230" i="2"/>
  <c r="AD230" i="2"/>
  <c r="AD231" i="2"/>
  <c r="AF229" i="2"/>
  <c r="AB229" i="2"/>
  <c r="Y229" i="2"/>
  <c r="V229" i="2"/>
  <c r="W229" i="2" s="1"/>
  <c r="S229" i="2"/>
  <c r="P229" i="2"/>
  <c r="Q229" i="2" s="1"/>
  <c r="M229" i="2"/>
  <c r="K229" i="2"/>
  <c r="I229" i="2"/>
  <c r="G229" i="2"/>
  <c r="E229" i="2"/>
  <c r="C229" i="2"/>
  <c r="AF228" i="2"/>
  <c r="AB228" i="2"/>
  <c r="Y228" i="2"/>
  <c r="V228" i="2"/>
  <c r="W228" i="2" s="1"/>
  <c r="S228" i="2"/>
  <c r="P228" i="2"/>
  <c r="Q228" i="2" s="1"/>
  <c r="M228" i="2"/>
  <c r="K228" i="2"/>
  <c r="I228" i="2"/>
  <c r="G228" i="2"/>
  <c r="E228" i="2"/>
  <c r="C228" i="2"/>
  <c r="N229" i="2" l="1"/>
  <c r="N228" i="2"/>
  <c r="AD228" i="2"/>
  <c r="AD229" i="2"/>
  <c r="AF227" i="2"/>
  <c r="AB227" i="2"/>
  <c r="Y227" i="2"/>
  <c r="V227" i="2"/>
  <c r="W227" i="2" s="1"/>
  <c r="S227" i="2"/>
  <c r="P227" i="2"/>
  <c r="Q227" i="2" s="1"/>
  <c r="M227" i="2"/>
  <c r="K227" i="2"/>
  <c r="I227" i="2"/>
  <c r="G227" i="2"/>
  <c r="E227" i="2"/>
  <c r="C227" i="2"/>
  <c r="AF226" i="2"/>
  <c r="AB226" i="2"/>
  <c r="Y226" i="2"/>
  <c r="V226" i="2"/>
  <c r="W226" i="2" s="1"/>
  <c r="S226" i="2"/>
  <c r="P226" i="2"/>
  <c r="Q226" i="2" s="1"/>
  <c r="M226" i="2"/>
  <c r="K226" i="2"/>
  <c r="I226" i="2"/>
  <c r="G226" i="2"/>
  <c r="E226" i="2"/>
  <c r="C226" i="2"/>
  <c r="AF225" i="2"/>
  <c r="AB225" i="2"/>
  <c r="Y225" i="2"/>
  <c r="V225" i="2"/>
  <c r="W225" i="2" s="1"/>
  <c r="S225" i="2"/>
  <c r="P225" i="2"/>
  <c r="Q225" i="2" s="1"/>
  <c r="M225" i="2"/>
  <c r="K225" i="2"/>
  <c r="I225" i="2"/>
  <c r="G225" i="2"/>
  <c r="E225" i="2"/>
  <c r="C225" i="2"/>
  <c r="N225" i="2" l="1"/>
  <c r="AD226" i="2"/>
  <c r="AD227" i="2"/>
  <c r="N226" i="2"/>
  <c r="N227" i="2"/>
  <c r="AD225" i="2"/>
  <c r="AF224" i="2"/>
  <c r="AB224" i="2"/>
  <c r="Y224" i="2"/>
  <c r="V224" i="2"/>
  <c r="W224" i="2" s="1"/>
  <c r="S224" i="2"/>
  <c r="P224" i="2"/>
  <c r="Q224" i="2" s="1"/>
  <c r="M224" i="2"/>
  <c r="K224" i="2"/>
  <c r="I224" i="2"/>
  <c r="G224" i="2"/>
  <c r="E224" i="2"/>
  <c r="C224" i="2"/>
  <c r="AK4" i="5"/>
  <c r="AK5" i="5"/>
  <c r="AK6" i="5"/>
  <c r="AK7" i="5"/>
  <c r="AK8" i="5"/>
  <c r="AK9" i="5"/>
  <c r="AK10" i="5"/>
  <c r="AK11" i="5"/>
  <c r="AK12" i="5"/>
  <c r="AK13" i="5"/>
  <c r="AK14" i="5"/>
  <c r="AK15" i="5"/>
  <c r="AK3" i="5"/>
  <c r="AF223" i="2"/>
  <c r="AB223" i="2"/>
  <c r="Y223" i="2"/>
  <c r="V223" i="2"/>
  <c r="W223" i="2" s="1"/>
  <c r="S223" i="2"/>
  <c r="P223" i="2"/>
  <c r="Q223" i="2" s="1"/>
  <c r="M223" i="2"/>
  <c r="K223" i="2"/>
  <c r="I223" i="2"/>
  <c r="G223" i="2"/>
  <c r="E223" i="2"/>
  <c r="C223" i="2"/>
  <c r="AF222" i="2"/>
  <c r="AB222" i="2"/>
  <c r="Y222" i="2"/>
  <c r="V222" i="2"/>
  <c r="W222" i="2" s="1"/>
  <c r="S222" i="2"/>
  <c r="P222" i="2"/>
  <c r="Q222" i="2" s="1"/>
  <c r="M222" i="2"/>
  <c r="K222" i="2"/>
  <c r="I222" i="2"/>
  <c r="G222" i="2"/>
  <c r="E222" i="2"/>
  <c r="C222" i="2"/>
  <c r="AD223" i="2" l="1"/>
  <c r="N223" i="2"/>
  <c r="N222" i="2"/>
  <c r="AD224" i="2"/>
  <c r="AD222" i="2"/>
  <c r="N224" i="2"/>
  <c r="AF221" i="2"/>
  <c r="AB221" i="2"/>
  <c r="Y221" i="2"/>
  <c r="V221" i="2"/>
  <c r="W221" i="2" s="1"/>
  <c r="S221" i="2"/>
  <c r="P221" i="2"/>
  <c r="Q221" i="2" s="1"/>
  <c r="M221" i="2"/>
  <c r="K221" i="2"/>
  <c r="I221" i="2"/>
  <c r="G221" i="2"/>
  <c r="E221" i="2"/>
  <c r="C221" i="2"/>
  <c r="AU15" i="5"/>
  <c r="AU14" i="5"/>
  <c r="AU13" i="5"/>
  <c r="AU12" i="5"/>
  <c r="AU11" i="5"/>
  <c r="AU10" i="5"/>
  <c r="AU9" i="5"/>
  <c r="AU8" i="5"/>
  <c r="AU7" i="5"/>
  <c r="AU6" i="5"/>
  <c r="AU5" i="5"/>
  <c r="AU4" i="5"/>
  <c r="AU3" i="5"/>
  <c r="AS11" i="5"/>
  <c r="AS12" i="5"/>
  <c r="AS13" i="5"/>
  <c r="AS14" i="5"/>
  <c r="AS15" i="5"/>
  <c r="AS10" i="5"/>
  <c r="AQ11" i="5"/>
  <c r="AQ12" i="5"/>
  <c r="AQ13" i="5"/>
  <c r="AQ14" i="5"/>
  <c r="AQ15" i="5"/>
  <c r="AQ10" i="5"/>
  <c r="AS4" i="5"/>
  <c r="AS5" i="5"/>
  <c r="AS6" i="5"/>
  <c r="AS7" i="5"/>
  <c r="AS8" i="5"/>
  <c r="AS9" i="5"/>
  <c r="AS3" i="5"/>
  <c r="AQ4" i="5"/>
  <c r="AQ5" i="5"/>
  <c r="AQ6" i="5"/>
  <c r="AQ7" i="5"/>
  <c r="AQ8" i="5"/>
  <c r="AQ9" i="5"/>
  <c r="AQ3" i="5"/>
  <c r="AJ16" i="5"/>
  <c r="AJ17" i="5" s="1"/>
  <c r="AJ18" i="5" s="1"/>
  <c r="AL11" i="5"/>
  <c r="AL12" i="5"/>
  <c r="AL13" i="5"/>
  <c r="AL14" i="5"/>
  <c r="AL15" i="5"/>
  <c r="AL4" i="5"/>
  <c r="AL5" i="5"/>
  <c r="AL6" i="5"/>
  <c r="AL7" i="5"/>
  <c r="AL8" i="5"/>
  <c r="AL9" i="5"/>
  <c r="AL3" i="5"/>
  <c r="AF220" i="2"/>
  <c r="AB220" i="2"/>
  <c r="Y220" i="2"/>
  <c r="V220" i="2"/>
  <c r="W220" i="2" s="1"/>
  <c r="S220" i="2"/>
  <c r="P220" i="2"/>
  <c r="Q220" i="2" s="1"/>
  <c r="M220" i="2"/>
  <c r="K220" i="2"/>
  <c r="I220" i="2"/>
  <c r="G220" i="2"/>
  <c r="E220" i="2"/>
  <c r="C220" i="2"/>
  <c r="AF219" i="2"/>
  <c r="AB219" i="2"/>
  <c r="Y219" i="2"/>
  <c r="V219" i="2"/>
  <c r="W219" i="2" s="1"/>
  <c r="S219" i="2"/>
  <c r="P219" i="2"/>
  <c r="Q219" i="2" s="1"/>
  <c r="M219" i="2"/>
  <c r="K219" i="2"/>
  <c r="I219" i="2"/>
  <c r="G219" i="2"/>
  <c r="E219" i="2"/>
  <c r="C219" i="2"/>
  <c r="E218" i="2"/>
  <c r="E217" i="2"/>
  <c r="E216" i="2"/>
  <c r="E215" i="2"/>
  <c r="I218" i="2"/>
  <c r="I217" i="2"/>
  <c r="I216" i="2"/>
  <c r="I215" i="2"/>
  <c r="V218" i="2"/>
  <c r="W218" i="2" s="1"/>
  <c r="V217" i="2"/>
  <c r="W217" i="2" s="1"/>
  <c r="V216" i="2"/>
  <c r="V215" i="2"/>
  <c r="AB218" i="2"/>
  <c r="AB217" i="2"/>
  <c r="AB216" i="2"/>
  <c r="AB215" i="2"/>
  <c r="AF218" i="2"/>
  <c r="Y218" i="2"/>
  <c r="S218" i="2"/>
  <c r="P218" i="2"/>
  <c r="Q218" i="2" s="1"/>
  <c r="M218" i="2"/>
  <c r="K218" i="2"/>
  <c r="G218" i="2"/>
  <c r="C218" i="2"/>
  <c r="AF217" i="2"/>
  <c r="Y217" i="2"/>
  <c r="S217" i="2"/>
  <c r="P217" i="2"/>
  <c r="Q217" i="2" s="1"/>
  <c r="M217" i="2"/>
  <c r="K217" i="2"/>
  <c r="G217" i="2"/>
  <c r="C217" i="2"/>
  <c r="N219" i="2" l="1"/>
  <c r="N217" i="2"/>
  <c r="N220" i="2"/>
  <c r="N218" i="2"/>
  <c r="AD219" i="2"/>
  <c r="N221" i="2"/>
  <c r="AD220" i="2"/>
  <c r="AD221" i="2"/>
  <c r="AD217" i="2"/>
  <c r="AL16" i="5"/>
  <c r="AD218" i="2"/>
  <c r="AF216" i="2" l="1"/>
  <c r="Y216" i="2"/>
  <c r="Y215" i="2"/>
  <c r="W216" i="2"/>
  <c r="S216" i="2"/>
  <c r="P216" i="2"/>
  <c r="Q216" i="2" s="1"/>
  <c r="M216" i="2"/>
  <c r="K216" i="2"/>
  <c r="G216" i="2"/>
  <c r="C216" i="2"/>
  <c r="P215" i="2"/>
  <c r="Q215" i="2" s="1"/>
  <c r="AF215" i="2"/>
  <c r="W215" i="2"/>
  <c r="S215" i="2"/>
  <c r="M215" i="2"/>
  <c r="K215" i="2"/>
  <c r="G215" i="2"/>
  <c r="C215" i="2"/>
  <c r="N216" i="2" l="1"/>
  <c r="AD215" i="2"/>
  <c r="AD216" i="2"/>
  <c r="N215" i="2"/>
  <c r="AF214" i="2"/>
  <c r="AB214" i="2"/>
  <c r="AB244" i="2" s="1"/>
  <c r="Y214" i="2"/>
  <c r="V214" i="2"/>
  <c r="W214" i="2" s="1"/>
  <c r="W244" i="2" s="1"/>
  <c r="S214" i="2"/>
  <c r="S244" i="2" s="1"/>
  <c r="P214" i="2"/>
  <c r="M214" i="2"/>
  <c r="M244" i="2" s="1"/>
  <c r="K214" i="2"/>
  <c r="K244" i="2" s="1"/>
  <c r="I214" i="2"/>
  <c r="I244" i="2" s="1"/>
  <c r="G214" i="2"/>
  <c r="G244" i="2" s="1"/>
  <c r="E214" i="2"/>
  <c r="E244" i="2" s="1"/>
  <c r="C214" i="2"/>
  <c r="C244" i="2" s="1"/>
  <c r="AF212" i="2"/>
  <c r="AB212" i="2"/>
  <c r="Y212" i="2"/>
  <c r="V212" i="2"/>
  <c r="W212" i="2" s="1"/>
  <c r="S212" i="2"/>
  <c r="P212" i="2"/>
  <c r="Q212" i="2" s="1"/>
  <c r="M212" i="2"/>
  <c r="K212" i="2"/>
  <c r="I212" i="2"/>
  <c r="G212" i="2"/>
  <c r="E212" i="2"/>
  <c r="C212" i="2"/>
  <c r="Q214" i="2" l="1"/>
  <c r="Q244" i="2" s="1"/>
  <c r="P244" i="2"/>
  <c r="N214" i="2"/>
  <c r="N244" i="2" s="1"/>
  <c r="AD214" i="2"/>
  <c r="N212" i="2"/>
  <c r="AD212" i="2"/>
  <c r="AF211" i="2"/>
  <c r="AB211" i="2"/>
  <c r="Y211" i="2"/>
  <c r="V211" i="2"/>
  <c r="W211" i="2" s="1"/>
  <c r="S211" i="2"/>
  <c r="P211" i="2"/>
  <c r="Q211" i="2" s="1"/>
  <c r="M211" i="2"/>
  <c r="K211" i="2"/>
  <c r="I211" i="2"/>
  <c r="G211" i="2"/>
  <c r="E211" i="2"/>
  <c r="C211" i="2"/>
  <c r="U199" i="2"/>
  <c r="U200" i="2" s="1"/>
  <c r="U201" i="2" s="1"/>
  <c r="U202" i="2" s="1"/>
  <c r="W199" i="2"/>
  <c r="W200" i="2"/>
  <c r="W201" i="2"/>
  <c r="W202" i="2"/>
  <c r="W203" i="2"/>
  <c r="AF210" i="2"/>
  <c r="AB210" i="2"/>
  <c r="Y210" i="2"/>
  <c r="V210" i="2"/>
  <c r="W210" i="2" s="1"/>
  <c r="S210" i="2"/>
  <c r="P210" i="2"/>
  <c r="Q210" i="2" s="1"/>
  <c r="M210" i="2"/>
  <c r="K210" i="2"/>
  <c r="I210" i="2"/>
  <c r="G210" i="2"/>
  <c r="E210" i="2"/>
  <c r="C210" i="2"/>
  <c r="AF208" i="2"/>
  <c r="AF209" i="2"/>
  <c r="AB208" i="2"/>
  <c r="AB209" i="2"/>
  <c r="Y208" i="2"/>
  <c r="Y209" i="2"/>
  <c r="V208" i="2"/>
  <c r="W208" i="2" s="1"/>
  <c r="V209" i="2"/>
  <c r="W209" i="2" s="1"/>
  <c r="S208" i="2"/>
  <c r="S209" i="2"/>
  <c r="P208" i="2"/>
  <c r="Q208" i="2" s="1"/>
  <c r="P209" i="2"/>
  <c r="Q209" i="2" s="1"/>
  <c r="M208" i="2"/>
  <c r="M209" i="2"/>
  <c r="K208" i="2"/>
  <c r="K209" i="2"/>
  <c r="I208" i="2"/>
  <c r="I209" i="2"/>
  <c r="G208" i="2"/>
  <c r="G209" i="2"/>
  <c r="E208" i="2"/>
  <c r="E209" i="2"/>
  <c r="C208" i="2"/>
  <c r="C209" i="2"/>
  <c r="AF207" i="2"/>
  <c r="AB207" i="2"/>
  <c r="Y207" i="2"/>
  <c r="V207" i="2"/>
  <c r="W207" i="2" s="1"/>
  <c r="S207" i="2"/>
  <c r="P207" i="2"/>
  <c r="Q207" i="2" s="1"/>
  <c r="M207" i="2"/>
  <c r="K207" i="2"/>
  <c r="I207" i="2"/>
  <c r="G207" i="2"/>
  <c r="E207" i="2"/>
  <c r="C207" i="2"/>
  <c r="AF206" i="2"/>
  <c r="AB206" i="2"/>
  <c r="Y206" i="2"/>
  <c r="V206" i="2"/>
  <c r="W206" i="2" s="1"/>
  <c r="S206" i="2"/>
  <c r="P206" i="2"/>
  <c r="Q206" i="2" s="1"/>
  <c r="M206" i="2"/>
  <c r="K206" i="2"/>
  <c r="I206" i="2"/>
  <c r="G206" i="2"/>
  <c r="E206" i="2"/>
  <c r="C206" i="2"/>
  <c r="AF203" i="2"/>
  <c r="AF199" i="2"/>
  <c r="AF200" i="2"/>
  <c r="AF201" i="2"/>
  <c r="AF202" i="2"/>
  <c r="AF205" i="2"/>
  <c r="AB205" i="2"/>
  <c r="Y205" i="2"/>
  <c r="V205" i="2"/>
  <c r="W205" i="2" s="1"/>
  <c r="S205" i="2"/>
  <c r="P205" i="2"/>
  <c r="Q205" i="2" s="1"/>
  <c r="M205" i="2"/>
  <c r="K205" i="2"/>
  <c r="I205" i="2"/>
  <c r="G205" i="2"/>
  <c r="E205" i="2"/>
  <c r="C205" i="2"/>
  <c r="N208" i="2" l="1"/>
  <c r="N205" i="2"/>
  <c r="N210" i="2"/>
  <c r="N207" i="2"/>
  <c r="AD209" i="2"/>
  <c r="N209" i="2"/>
  <c r="N211" i="2"/>
  <c r="AD206" i="2"/>
  <c r="N206" i="2"/>
  <c r="AD205" i="2"/>
  <c r="AD207" i="2"/>
  <c r="AD211" i="2"/>
  <c r="AD210" i="2"/>
  <c r="AD208" i="2"/>
  <c r="AF204" i="2" l="1"/>
  <c r="AB204" i="2"/>
  <c r="Y204" i="2"/>
  <c r="V204" i="2"/>
  <c r="W204" i="2" s="1"/>
  <c r="S204" i="2"/>
  <c r="P204" i="2"/>
  <c r="Q204" i="2" s="1"/>
  <c r="M204" i="2"/>
  <c r="K204" i="2"/>
  <c r="I204" i="2"/>
  <c r="G204" i="2"/>
  <c r="E204" i="2"/>
  <c r="C204" i="2"/>
  <c r="R199" i="2"/>
  <c r="R200" i="2" s="1"/>
  <c r="R201" i="2" s="1"/>
  <c r="R202" i="2" s="1"/>
  <c r="S203" i="2" s="1"/>
  <c r="S199" i="2" s="1"/>
  <c r="G199" i="2"/>
  <c r="G200" i="2"/>
  <c r="G201" i="2"/>
  <c r="G202" i="2"/>
  <c r="G203" i="2"/>
  <c r="E199" i="2"/>
  <c r="E200" i="2"/>
  <c r="E201" i="2"/>
  <c r="E202" i="2"/>
  <c r="I199" i="2"/>
  <c r="I200" i="2"/>
  <c r="I201" i="2"/>
  <c r="I202" i="2"/>
  <c r="M199" i="2"/>
  <c r="M200" i="2"/>
  <c r="M201" i="2"/>
  <c r="M202" i="2"/>
  <c r="M203" i="2"/>
  <c r="K203" i="2"/>
  <c r="K199" i="2"/>
  <c r="K200" i="2"/>
  <c r="K201" i="2"/>
  <c r="K202" i="2"/>
  <c r="B199" i="2"/>
  <c r="B200" i="2" s="1"/>
  <c r="P200" i="2"/>
  <c r="Q200" i="2" s="1"/>
  <c r="P201" i="2"/>
  <c r="Q201" i="2" s="1"/>
  <c r="P202" i="2"/>
  <c r="Q202" i="2" s="1"/>
  <c r="P203" i="2"/>
  <c r="Q203" i="2" s="1"/>
  <c r="P199" i="2"/>
  <c r="Q199" i="2" s="1"/>
  <c r="AB203" i="2"/>
  <c r="Y203" i="2"/>
  <c r="I203" i="2"/>
  <c r="E203" i="2"/>
  <c r="AF198" i="2"/>
  <c r="AB198" i="2"/>
  <c r="Y198" i="2"/>
  <c r="V198" i="2"/>
  <c r="W198" i="2" s="1"/>
  <c r="S198" i="2"/>
  <c r="P198" i="2"/>
  <c r="Q198" i="2" s="1"/>
  <c r="M198" i="2"/>
  <c r="K198" i="2"/>
  <c r="I198" i="2"/>
  <c r="G198" i="2"/>
  <c r="E198" i="2"/>
  <c r="C198" i="2"/>
  <c r="AF197" i="2"/>
  <c r="AB197" i="2"/>
  <c r="Y197" i="2"/>
  <c r="V197" i="2"/>
  <c r="W197" i="2" s="1"/>
  <c r="S197" i="2"/>
  <c r="P197" i="2"/>
  <c r="Q197" i="2" s="1"/>
  <c r="M197" i="2"/>
  <c r="K197" i="2"/>
  <c r="I197" i="2"/>
  <c r="G197" i="2"/>
  <c r="E197" i="2"/>
  <c r="C197" i="2"/>
  <c r="AF196" i="2"/>
  <c r="AB196" i="2"/>
  <c r="Y196" i="2"/>
  <c r="V196" i="2"/>
  <c r="W196" i="2" s="1"/>
  <c r="S196" i="2"/>
  <c r="P196" i="2"/>
  <c r="Q196" i="2" s="1"/>
  <c r="M196" i="2"/>
  <c r="K196" i="2"/>
  <c r="I196" i="2"/>
  <c r="G196" i="2"/>
  <c r="E196" i="2"/>
  <c r="C196" i="2"/>
  <c r="N202" i="2" l="1"/>
  <c r="O199" i="2"/>
  <c r="O200" i="2" s="1"/>
  <c r="O201" i="2" s="1"/>
  <c r="O202" i="2" s="1"/>
  <c r="N200" i="2"/>
  <c r="AC203" i="2"/>
  <c r="AD203" i="2" s="1"/>
  <c r="N203" i="2"/>
  <c r="N199" i="2"/>
  <c r="AD197" i="2"/>
  <c r="AD198" i="2"/>
  <c r="Z203" i="2"/>
  <c r="N198" i="2"/>
  <c r="N201" i="2"/>
  <c r="C200" i="2"/>
  <c r="B201" i="2"/>
  <c r="C199" i="2"/>
  <c r="N197" i="2"/>
  <c r="N204" i="2"/>
  <c r="AD204" i="2"/>
  <c r="N196" i="2"/>
  <c r="AD196" i="2"/>
  <c r="C201" i="2" l="1"/>
  <c r="B202" i="2"/>
  <c r="AB195" i="2"/>
  <c r="Y195" i="2"/>
  <c r="V195" i="2"/>
  <c r="W195" i="2" s="1"/>
  <c r="S195" i="2"/>
  <c r="P195" i="2"/>
  <c r="Q195" i="2" s="1"/>
  <c r="M195" i="2"/>
  <c r="K195" i="2"/>
  <c r="I195" i="2"/>
  <c r="G195" i="2"/>
  <c r="E195" i="2"/>
  <c r="C195" i="2"/>
  <c r="AF195" i="2"/>
  <c r="AF194" i="2"/>
  <c r="AB194" i="2"/>
  <c r="Y194" i="2"/>
  <c r="V194" i="2"/>
  <c r="W194" i="2" s="1"/>
  <c r="S194" i="2"/>
  <c r="P194" i="2"/>
  <c r="Q194" i="2" s="1"/>
  <c r="M194" i="2"/>
  <c r="K194" i="2"/>
  <c r="I194" i="2"/>
  <c r="G194" i="2"/>
  <c r="E194" i="2"/>
  <c r="C194" i="2"/>
  <c r="AF193" i="2"/>
  <c r="AB193" i="2"/>
  <c r="Y193" i="2"/>
  <c r="V193" i="2"/>
  <c r="W193" i="2" s="1"/>
  <c r="S193" i="2"/>
  <c r="P193" i="2"/>
  <c r="Q193" i="2" s="1"/>
  <c r="M193" i="2"/>
  <c r="K193" i="2"/>
  <c r="I193" i="2"/>
  <c r="G193" i="2"/>
  <c r="E193" i="2"/>
  <c r="C193" i="2"/>
  <c r="AF192" i="2"/>
  <c r="AB192" i="2"/>
  <c r="Y192" i="2"/>
  <c r="V192" i="2"/>
  <c r="W192" i="2" s="1"/>
  <c r="S192" i="2"/>
  <c r="P192" i="2"/>
  <c r="Q192" i="2" s="1"/>
  <c r="M192" i="2"/>
  <c r="K192" i="2"/>
  <c r="I192" i="2"/>
  <c r="G192" i="2"/>
  <c r="E192" i="2"/>
  <c r="C192" i="2"/>
  <c r="AF191" i="2"/>
  <c r="AB191" i="2"/>
  <c r="Y191" i="2"/>
  <c r="Y190" i="2"/>
  <c r="V191" i="2"/>
  <c r="W191" i="2" s="1"/>
  <c r="S191" i="2"/>
  <c r="P191" i="2"/>
  <c r="Q191" i="2" s="1"/>
  <c r="M191" i="2"/>
  <c r="K191" i="2"/>
  <c r="I191" i="2"/>
  <c r="G191" i="2"/>
  <c r="E191" i="2"/>
  <c r="C191" i="2"/>
  <c r="C202" i="2" l="1"/>
  <c r="C203" i="2"/>
  <c r="N194" i="2"/>
  <c r="N192" i="2"/>
  <c r="N191" i="2"/>
  <c r="AD192" i="2"/>
  <c r="N195" i="2"/>
  <c r="N193" i="2"/>
  <c r="AD195" i="2"/>
  <c r="AD191" i="2"/>
  <c r="AD193" i="2"/>
  <c r="AD194" i="2"/>
  <c r="AF190" i="2"/>
  <c r="AB190" i="2"/>
  <c r="V190" i="2"/>
  <c r="W190" i="2" s="1"/>
  <c r="S190" i="2"/>
  <c r="P190" i="2"/>
  <c r="Q190" i="2" s="1"/>
  <c r="M190" i="2"/>
  <c r="K190" i="2"/>
  <c r="I190" i="2"/>
  <c r="G190" i="2"/>
  <c r="E190" i="2"/>
  <c r="C190" i="2"/>
  <c r="A7" i="2"/>
  <c r="Y16" i="2"/>
  <c r="AI16" i="2"/>
  <c r="AI11" i="2"/>
  <c r="I189" i="2"/>
  <c r="G189" i="2"/>
  <c r="E189" i="2"/>
  <c r="C189" i="2"/>
  <c r="K189" i="2"/>
  <c r="M189" i="2"/>
  <c r="N189" i="2" s="1"/>
  <c r="P189" i="2"/>
  <c r="Q189" i="2" s="1"/>
  <c r="S189" i="2"/>
  <c r="V189" i="2"/>
  <c r="W189" i="2" s="1"/>
  <c r="Y189" i="2"/>
  <c r="AB189" i="2"/>
  <c r="AF189" i="2"/>
  <c r="AF188" i="2"/>
  <c r="AB188" i="2"/>
  <c r="Y188" i="2"/>
  <c r="V188" i="2"/>
  <c r="W188" i="2" s="1"/>
  <c r="S188" i="2"/>
  <c r="P188" i="2"/>
  <c r="Q188" i="2" s="1"/>
  <c r="M188" i="2"/>
  <c r="K188" i="2"/>
  <c r="I188" i="2"/>
  <c r="G188" i="2"/>
  <c r="E188" i="2"/>
  <c r="C188" i="2"/>
  <c r="AF187" i="2"/>
  <c r="AB187" i="2"/>
  <c r="Y187" i="2"/>
  <c r="V187" i="2"/>
  <c r="W187" i="2" s="1"/>
  <c r="S187" i="2"/>
  <c r="P187" i="2"/>
  <c r="Q187" i="2" s="1"/>
  <c r="M187" i="2"/>
  <c r="K187" i="2"/>
  <c r="I187" i="2"/>
  <c r="G187" i="2"/>
  <c r="E187" i="2"/>
  <c r="C187" i="2"/>
  <c r="AF186" i="2"/>
  <c r="AB186" i="2"/>
  <c r="Y186" i="2"/>
  <c r="V186" i="2"/>
  <c r="W186" i="2" s="1"/>
  <c r="S186" i="2"/>
  <c r="P186" i="2"/>
  <c r="Q186" i="2" s="1"/>
  <c r="M186" i="2"/>
  <c r="K186" i="2"/>
  <c r="I186" i="2"/>
  <c r="G186" i="2"/>
  <c r="E186" i="2"/>
  <c r="C186" i="2"/>
  <c r="AF185" i="2"/>
  <c r="AB185" i="2"/>
  <c r="Y185" i="2"/>
  <c r="V185" i="2"/>
  <c r="W185" i="2" s="1"/>
  <c r="S185" i="2"/>
  <c r="P185" i="2"/>
  <c r="Q185" i="2" s="1"/>
  <c r="M185" i="2"/>
  <c r="K185" i="2"/>
  <c r="I185" i="2"/>
  <c r="G185" i="2"/>
  <c r="E185" i="2"/>
  <c r="C185" i="2"/>
  <c r="P184" i="2"/>
  <c r="Q184" i="2" s="1"/>
  <c r="AF184" i="2"/>
  <c r="AB184" i="2"/>
  <c r="Y184" i="2"/>
  <c r="V184" i="2"/>
  <c r="W184" i="2" s="1"/>
  <c r="S184" i="2"/>
  <c r="M184" i="2"/>
  <c r="K184" i="2"/>
  <c r="I184" i="2"/>
  <c r="G184" i="2"/>
  <c r="E184" i="2"/>
  <c r="C184" i="2"/>
  <c r="AF183" i="2"/>
  <c r="AB183" i="2"/>
  <c r="Y183" i="2"/>
  <c r="V183" i="2"/>
  <c r="W183" i="2" s="1"/>
  <c r="S183" i="2"/>
  <c r="P183" i="2"/>
  <c r="M183" i="2"/>
  <c r="K183" i="2"/>
  <c r="I183" i="2"/>
  <c r="I213" i="2" s="1"/>
  <c r="G183" i="2"/>
  <c r="G213" i="2" s="1"/>
  <c r="E183" i="2"/>
  <c r="E213" i="2" s="1"/>
  <c r="C183" i="2"/>
  <c r="AF182" i="2"/>
  <c r="AB182" i="2"/>
  <c r="Y182" i="2"/>
  <c r="V182" i="2"/>
  <c r="S182" i="2"/>
  <c r="P182" i="2"/>
  <c r="Q182" i="2" s="1"/>
  <c r="M182" i="2"/>
  <c r="K182" i="2"/>
  <c r="I182" i="2"/>
  <c r="G182" i="2"/>
  <c r="E182" i="2"/>
  <c r="C182" i="2"/>
  <c r="AF180" i="2"/>
  <c r="AB180" i="2"/>
  <c r="Y180" i="2"/>
  <c r="V180" i="2"/>
  <c r="W180" i="2" s="1"/>
  <c r="S180" i="2"/>
  <c r="P180" i="2"/>
  <c r="Q180" i="2" s="1"/>
  <c r="M180" i="2"/>
  <c r="K180" i="2"/>
  <c r="I180" i="2"/>
  <c r="G180" i="2"/>
  <c r="E180" i="2"/>
  <c r="C180" i="2"/>
  <c r="AF179" i="2"/>
  <c r="AB179" i="2"/>
  <c r="Y179" i="2"/>
  <c r="V179" i="2"/>
  <c r="W179" i="2" s="1"/>
  <c r="S179" i="2"/>
  <c r="P179" i="2"/>
  <c r="Q179" i="2" s="1"/>
  <c r="M179" i="2"/>
  <c r="K179" i="2"/>
  <c r="I179" i="2"/>
  <c r="G179" i="2"/>
  <c r="E179" i="2"/>
  <c r="C179" i="2"/>
  <c r="M213" i="2" l="1"/>
  <c r="AF213" i="2"/>
  <c r="AF244" i="2" s="1"/>
  <c r="AD244" i="2" s="1"/>
  <c r="S213" i="2"/>
  <c r="C213" i="2"/>
  <c r="W182" i="2"/>
  <c r="V213" i="2"/>
  <c r="V244" i="2" s="1"/>
  <c r="K213" i="2"/>
  <c r="W213" i="2"/>
  <c r="Y213" i="2"/>
  <c r="Y244" i="2" s="1"/>
  <c r="Q183" i="2"/>
  <c r="Q213" i="2" s="1"/>
  <c r="P213" i="2"/>
  <c r="AB213" i="2"/>
  <c r="N179" i="2"/>
  <c r="N188" i="2"/>
  <c r="N190" i="2"/>
  <c r="N187" i="2"/>
  <c r="N184" i="2"/>
  <c r="AD190" i="2"/>
  <c r="AD179" i="2"/>
  <c r="N185" i="2"/>
  <c r="N186" i="2"/>
  <c r="AD186" i="2"/>
  <c r="AD188" i="2"/>
  <c r="AD185" i="2"/>
  <c r="N180" i="2"/>
  <c r="AD180" i="2"/>
  <c r="AD184" i="2"/>
  <c r="AD187" i="2"/>
  <c r="AD189" i="2"/>
  <c r="N183" i="2"/>
  <c r="AD183" i="2"/>
  <c r="N182" i="2"/>
  <c r="AD182" i="2"/>
  <c r="AF178" i="2"/>
  <c r="AB178" i="2"/>
  <c r="Y178" i="2"/>
  <c r="V178" i="2"/>
  <c r="W178" i="2" s="1"/>
  <c r="S178" i="2"/>
  <c r="P178" i="2"/>
  <c r="Q178" i="2" s="1"/>
  <c r="M178" i="2"/>
  <c r="K178" i="2"/>
  <c r="I178" i="2"/>
  <c r="G178" i="2"/>
  <c r="E178" i="2"/>
  <c r="C178" i="2"/>
  <c r="AF177" i="2"/>
  <c r="AB177" i="2"/>
  <c r="Y177" i="2"/>
  <c r="V177" i="2"/>
  <c r="W177" i="2" s="1"/>
  <c r="S177" i="2"/>
  <c r="P177" i="2"/>
  <c r="Q177" i="2" s="1"/>
  <c r="M177" i="2"/>
  <c r="K177" i="2"/>
  <c r="I177" i="2"/>
  <c r="G177" i="2"/>
  <c r="E177" i="2"/>
  <c r="C177" i="2"/>
  <c r="AF176" i="2"/>
  <c r="AB176" i="2"/>
  <c r="Y176" i="2"/>
  <c r="V176" i="2"/>
  <c r="W176" i="2" s="1"/>
  <c r="S176" i="2"/>
  <c r="P176" i="2"/>
  <c r="Q176" i="2" s="1"/>
  <c r="M176" i="2"/>
  <c r="K176" i="2"/>
  <c r="I176" i="2"/>
  <c r="G176" i="2"/>
  <c r="E176" i="2"/>
  <c r="C176" i="2"/>
  <c r="AF175" i="2"/>
  <c r="AB175" i="2"/>
  <c r="Y175" i="2"/>
  <c r="V175" i="2"/>
  <c r="W175" i="2" s="1"/>
  <c r="S175" i="2"/>
  <c r="P175" i="2"/>
  <c r="Q175" i="2" s="1"/>
  <c r="M175" i="2"/>
  <c r="K175" i="2"/>
  <c r="I175" i="2"/>
  <c r="G175" i="2"/>
  <c r="E175" i="2"/>
  <c r="C175" i="2"/>
  <c r="AF174" i="2"/>
  <c r="AB174" i="2"/>
  <c r="Y174" i="2"/>
  <c r="V174" i="2"/>
  <c r="W174" i="2" s="1"/>
  <c r="S174" i="2"/>
  <c r="P174" i="2"/>
  <c r="Q174" i="2" s="1"/>
  <c r="M174" i="2"/>
  <c r="K174" i="2"/>
  <c r="I174" i="2"/>
  <c r="G174" i="2"/>
  <c r="E174" i="2"/>
  <c r="C174" i="2"/>
  <c r="AD213" i="2" l="1"/>
  <c r="N213" i="2"/>
  <c r="N174" i="2"/>
  <c r="N175" i="2"/>
  <c r="N177" i="2"/>
  <c r="N178" i="2"/>
  <c r="AD175" i="2"/>
  <c r="AD177" i="2"/>
  <c r="AD174" i="2"/>
  <c r="N176" i="2"/>
  <c r="AD178" i="2"/>
  <c r="AD176" i="2"/>
  <c r="AF173" i="2"/>
  <c r="AB173" i="2"/>
  <c r="Y173" i="2"/>
  <c r="V173" i="2"/>
  <c r="W173" i="2" s="1"/>
  <c r="S173" i="2"/>
  <c r="P173" i="2"/>
  <c r="Q173" i="2" s="1"/>
  <c r="M173" i="2"/>
  <c r="K173" i="2"/>
  <c r="I173" i="2"/>
  <c r="G173" i="2"/>
  <c r="E173" i="2"/>
  <c r="C173" i="2"/>
  <c r="AF172" i="2"/>
  <c r="AB172" i="2"/>
  <c r="Y172" i="2"/>
  <c r="V172" i="2"/>
  <c r="W172" i="2" s="1"/>
  <c r="S172" i="2"/>
  <c r="P172" i="2"/>
  <c r="Q172" i="2" s="1"/>
  <c r="M172" i="2"/>
  <c r="K172" i="2"/>
  <c r="I172" i="2"/>
  <c r="G172" i="2"/>
  <c r="E172" i="2"/>
  <c r="C172" i="2"/>
  <c r="N173" i="2" l="1"/>
  <c r="AD172" i="2"/>
  <c r="AD173" i="2"/>
  <c r="N172" i="2"/>
  <c r="AF171" i="2" l="1"/>
  <c r="AB171" i="2"/>
  <c r="Y171" i="2"/>
  <c r="V171" i="2"/>
  <c r="W171" i="2" s="1"/>
  <c r="S171" i="2"/>
  <c r="P171" i="2"/>
  <c r="Q171" i="2" s="1"/>
  <c r="M171" i="2"/>
  <c r="K171" i="2"/>
  <c r="I171" i="2"/>
  <c r="G171" i="2"/>
  <c r="E171" i="2"/>
  <c r="C171" i="2"/>
  <c r="AF170" i="2"/>
  <c r="AB170" i="2"/>
  <c r="Y170" i="2"/>
  <c r="V170" i="2"/>
  <c r="W170" i="2" s="1"/>
  <c r="S170" i="2"/>
  <c r="P170" i="2"/>
  <c r="Q170" i="2" s="1"/>
  <c r="M170" i="2"/>
  <c r="K170" i="2"/>
  <c r="I170" i="2"/>
  <c r="G170" i="2"/>
  <c r="E170" i="2"/>
  <c r="C170" i="2"/>
  <c r="N170" i="2" l="1"/>
  <c r="N171" i="2"/>
  <c r="AD170" i="2"/>
  <c r="AD171" i="2"/>
  <c r="AF169" i="2"/>
  <c r="AB169" i="2"/>
  <c r="Y169" i="2"/>
  <c r="V169" i="2"/>
  <c r="W169" i="2" s="1"/>
  <c r="S169" i="2"/>
  <c r="P169" i="2"/>
  <c r="Q169" i="2" s="1"/>
  <c r="M169" i="2"/>
  <c r="K169" i="2"/>
  <c r="I169" i="2"/>
  <c r="G169" i="2"/>
  <c r="E169" i="2"/>
  <c r="C169" i="2"/>
  <c r="N169" i="2" l="1"/>
  <c r="AD169" i="2"/>
  <c r="AF168" i="2"/>
  <c r="AB168" i="2"/>
  <c r="Y168" i="2"/>
  <c r="V168" i="2"/>
  <c r="W168" i="2" s="1"/>
  <c r="S168" i="2"/>
  <c r="P168" i="2"/>
  <c r="Q168" i="2" s="1"/>
  <c r="M168" i="2"/>
  <c r="K168" i="2"/>
  <c r="I168" i="2"/>
  <c r="G168" i="2"/>
  <c r="E168" i="2"/>
  <c r="C168" i="2"/>
  <c r="M167" i="2"/>
  <c r="K167" i="2"/>
  <c r="I167" i="2"/>
  <c r="G167" i="2"/>
  <c r="E167" i="2"/>
  <c r="C167" i="2"/>
  <c r="P167" i="2"/>
  <c r="Q167" i="2" s="1"/>
  <c r="S167" i="2"/>
  <c r="V167" i="2"/>
  <c r="W167" i="2" s="1"/>
  <c r="Y167" i="2"/>
  <c r="AB167" i="2"/>
  <c r="AF167" i="2"/>
  <c r="AF166" i="2"/>
  <c r="AB166" i="2"/>
  <c r="Y166" i="2"/>
  <c r="V166" i="2"/>
  <c r="W166" i="2" s="1"/>
  <c r="S166" i="2"/>
  <c r="P166" i="2"/>
  <c r="Q166" i="2" s="1"/>
  <c r="M166" i="2"/>
  <c r="K166" i="2"/>
  <c r="I166" i="2"/>
  <c r="G166" i="2"/>
  <c r="E166" i="2"/>
  <c r="C166" i="2"/>
  <c r="AF165" i="2"/>
  <c r="AB165" i="2"/>
  <c r="Y165" i="2"/>
  <c r="V165" i="2"/>
  <c r="W165" i="2" s="1"/>
  <c r="S165" i="2"/>
  <c r="P165" i="2"/>
  <c r="Q165" i="2" s="1"/>
  <c r="M165" i="2"/>
  <c r="K165" i="2"/>
  <c r="I165" i="2"/>
  <c r="G165" i="2"/>
  <c r="E165" i="2"/>
  <c r="C165" i="2"/>
  <c r="AF164" i="2"/>
  <c r="AB164" i="2"/>
  <c r="Y164" i="2"/>
  <c r="V164" i="2"/>
  <c r="W164" i="2" s="1"/>
  <c r="S164" i="2"/>
  <c r="P164" i="2"/>
  <c r="Q164" i="2" s="1"/>
  <c r="M164" i="2"/>
  <c r="K164" i="2"/>
  <c r="I164" i="2"/>
  <c r="G164" i="2"/>
  <c r="E164" i="2"/>
  <c r="C164" i="2"/>
  <c r="AF163" i="2"/>
  <c r="AB163" i="2"/>
  <c r="Y163" i="2"/>
  <c r="V163" i="2"/>
  <c r="W163" i="2" s="1"/>
  <c r="S163" i="2"/>
  <c r="P163" i="2"/>
  <c r="Q163" i="2" s="1"/>
  <c r="M163" i="2"/>
  <c r="K163" i="2"/>
  <c r="I163" i="2"/>
  <c r="G163" i="2"/>
  <c r="E163" i="2"/>
  <c r="C163" i="2"/>
  <c r="N167" i="2" l="1"/>
  <c r="N168" i="2"/>
  <c r="N163" i="2"/>
  <c r="N164" i="2"/>
  <c r="N166" i="2"/>
  <c r="AD166" i="2"/>
  <c r="N165" i="2"/>
  <c r="AD165" i="2"/>
  <c r="AD163" i="2"/>
  <c r="AD168" i="2"/>
  <c r="AD164" i="2"/>
  <c r="AD167" i="2"/>
  <c r="AF162" i="2"/>
  <c r="AB162" i="2"/>
  <c r="Y162" i="2"/>
  <c r="V162" i="2"/>
  <c r="W162" i="2" s="1"/>
  <c r="S162" i="2"/>
  <c r="P162" i="2"/>
  <c r="Q162" i="2" s="1"/>
  <c r="M162" i="2"/>
  <c r="K162" i="2"/>
  <c r="I162" i="2"/>
  <c r="G162" i="2"/>
  <c r="E162" i="2"/>
  <c r="C162" i="2"/>
  <c r="AF161" i="2"/>
  <c r="AB161" i="2"/>
  <c r="Y161" i="2"/>
  <c r="V161" i="2"/>
  <c r="W161" i="2" s="1"/>
  <c r="S161" i="2"/>
  <c r="P161" i="2"/>
  <c r="Q161" i="2" s="1"/>
  <c r="M161" i="2"/>
  <c r="K161" i="2"/>
  <c r="I161" i="2"/>
  <c r="G161" i="2"/>
  <c r="E161" i="2"/>
  <c r="C161" i="2"/>
  <c r="N161" i="2" l="1"/>
  <c r="N162" i="2"/>
  <c r="AD162" i="2"/>
  <c r="AD161" i="2"/>
  <c r="AF160" i="2"/>
  <c r="AB160" i="2"/>
  <c r="Y160" i="2"/>
  <c r="V160" i="2"/>
  <c r="W160" i="2" s="1"/>
  <c r="S160" i="2"/>
  <c r="P160" i="2"/>
  <c r="Q160" i="2" s="1"/>
  <c r="M160" i="2"/>
  <c r="K160" i="2"/>
  <c r="I160" i="2"/>
  <c r="G160" i="2"/>
  <c r="E160" i="2"/>
  <c r="C160" i="2"/>
  <c r="AF159" i="2"/>
  <c r="AB159" i="2"/>
  <c r="Y159" i="2"/>
  <c r="V159" i="2"/>
  <c r="W159" i="2" s="1"/>
  <c r="S159" i="2"/>
  <c r="P159" i="2"/>
  <c r="Q159" i="2" s="1"/>
  <c r="M159" i="2"/>
  <c r="K159" i="2"/>
  <c r="I159" i="2"/>
  <c r="G159" i="2"/>
  <c r="E159" i="2"/>
  <c r="C159" i="2"/>
  <c r="AF158" i="2"/>
  <c r="AB158" i="2"/>
  <c r="Y158" i="2"/>
  <c r="V158" i="2"/>
  <c r="W158" i="2" s="1"/>
  <c r="S158" i="2"/>
  <c r="P158" i="2"/>
  <c r="Q158" i="2" s="1"/>
  <c r="M158" i="2"/>
  <c r="K158" i="2"/>
  <c r="I158" i="2"/>
  <c r="G158" i="2"/>
  <c r="E158" i="2"/>
  <c r="C158" i="2"/>
  <c r="AF157" i="2"/>
  <c r="AB157" i="2"/>
  <c r="Y157" i="2"/>
  <c r="V157" i="2"/>
  <c r="W157" i="2" s="1"/>
  <c r="S157" i="2"/>
  <c r="P157" i="2"/>
  <c r="Q157" i="2" s="1"/>
  <c r="M157" i="2"/>
  <c r="K157" i="2"/>
  <c r="I157" i="2"/>
  <c r="G157" i="2"/>
  <c r="E157" i="2"/>
  <c r="C157" i="2"/>
  <c r="AF156" i="2"/>
  <c r="AF155" i="2"/>
  <c r="AB156" i="2"/>
  <c r="AB155" i="2"/>
  <c r="Y156" i="2"/>
  <c r="Y155" i="2"/>
  <c r="V156" i="2"/>
  <c r="W156" i="2" s="1"/>
  <c r="V155" i="2"/>
  <c r="W155" i="2" s="1"/>
  <c r="S155" i="2"/>
  <c r="P155" i="2"/>
  <c r="Q155" i="2" s="1"/>
  <c r="P156" i="2"/>
  <c r="M156" i="2"/>
  <c r="K156" i="2"/>
  <c r="I156" i="2"/>
  <c r="G156" i="2"/>
  <c r="E156" i="2"/>
  <c r="C156" i="2"/>
  <c r="S156" i="2"/>
  <c r="Q156" i="2"/>
  <c r="M155" i="2"/>
  <c r="K155" i="2"/>
  <c r="I155" i="2"/>
  <c r="G155" i="2"/>
  <c r="E155" i="2"/>
  <c r="C155" i="2"/>
  <c r="AF151" i="2"/>
  <c r="AF152" i="2"/>
  <c r="AF153" i="2"/>
  <c r="AF154" i="2"/>
  <c r="AB151" i="2"/>
  <c r="AB152" i="2"/>
  <c r="AB153" i="2"/>
  <c r="AB154" i="2"/>
  <c r="Y151" i="2"/>
  <c r="Y152" i="2"/>
  <c r="Y153" i="2"/>
  <c r="Y154" i="2"/>
  <c r="V151" i="2"/>
  <c r="W151" i="2" s="1"/>
  <c r="V152" i="2"/>
  <c r="W152" i="2" s="1"/>
  <c r="V153" i="2"/>
  <c r="W153" i="2" s="1"/>
  <c r="V154" i="2"/>
  <c r="W154" i="2" s="1"/>
  <c r="S151" i="2"/>
  <c r="S152" i="2"/>
  <c r="S153" i="2"/>
  <c r="S154" i="2"/>
  <c r="P151" i="2"/>
  <c r="P152" i="2"/>
  <c r="Q152" i="2" s="1"/>
  <c r="P153" i="2"/>
  <c r="Q153" i="2" s="1"/>
  <c r="P154" i="2"/>
  <c r="Q154" i="2" s="1"/>
  <c r="M154" i="2"/>
  <c r="M153" i="2"/>
  <c r="M152" i="2"/>
  <c r="M151" i="2"/>
  <c r="K151" i="2"/>
  <c r="K152" i="2"/>
  <c r="K153" i="2"/>
  <c r="I151" i="2"/>
  <c r="I152" i="2"/>
  <c r="I153" i="2"/>
  <c r="K154" i="2"/>
  <c r="I154" i="2"/>
  <c r="G151" i="2"/>
  <c r="G152" i="2"/>
  <c r="G153" i="2"/>
  <c r="G154" i="2"/>
  <c r="E151" i="2"/>
  <c r="E152" i="2"/>
  <c r="E153" i="2"/>
  <c r="E154" i="2"/>
  <c r="C151" i="2"/>
  <c r="C152" i="2"/>
  <c r="C153" i="2"/>
  <c r="C154" i="2"/>
  <c r="N152" i="2" l="1"/>
  <c r="C181" i="2"/>
  <c r="S181" i="2"/>
  <c r="AB181" i="2"/>
  <c r="K181" i="2"/>
  <c r="E181" i="2"/>
  <c r="AD153" i="2"/>
  <c r="N153" i="2"/>
  <c r="N151" i="2"/>
  <c r="G181" i="2"/>
  <c r="Q151" i="2"/>
  <c r="Q181" i="2" s="1"/>
  <c r="P181" i="2"/>
  <c r="W181" i="2"/>
  <c r="I181" i="2"/>
  <c r="N156" i="2"/>
  <c r="N157" i="2"/>
  <c r="N160" i="2"/>
  <c r="M181" i="2"/>
  <c r="AD154" i="2"/>
  <c r="N154" i="2"/>
  <c r="AD155" i="2"/>
  <c r="AD151" i="2"/>
  <c r="AD152" i="2"/>
  <c r="N155" i="2"/>
  <c r="AD160" i="2"/>
  <c r="AD156" i="2"/>
  <c r="N158" i="2"/>
  <c r="N159" i="2"/>
  <c r="AD159" i="2"/>
  <c r="AD158" i="2"/>
  <c r="AD157" i="2"/>
  <c r="AF150" i="2"/>
  <c r="AF181" i="2" s="1"/>
  <c r="AB150" i="2"/>
  <c r="Y150" i="2"/>
  <c r="Y181" i="2" s="1"/>
  <c r="V150" i="2"/>
  <c r="S150" i="2"/>
  <c r="P150" i="2"/>
  <c r="Q150" i="2" s="1"/>
  <c r="M150" i="2"/>
  <c r="K150" i="2"/>
  <c r="I150" i="2"/>
  <c r="G150" i="2"/>
  <c r="E150" i="2"/>
  <c r="C150" i="2"/>
  <c r="C148" i="2"/>
  <c r="AF148" i="2"/>
  <c r="AB148" i="2"/>
  <c r="Y148" i="2"/>
  <c r="V148" i="2"/>
  <c r="W148" i="2" s="1"/>
  <c r="S148" i="2"/>
  <c r="P148" i="2"/>
  <c r="Q148" i="2" s="1"/>
  <c r="M148" i="2"/>
  <c r="K148" i="2"/>
  <c r="I148" i="2"/>
  <c r="G148" i="2"/>
  <c r="E148" i="2"/>
  <c r="AF147" i="2"/>
  <c r="AB147" i="2"/>
  <c r="Y147" i="2"/>
  <c r="V147" i="2"/>
  <c r="W147" i="2" s="1"/>
  <c r="S147" i="2"/>
  <c r="P147" i="2"/>
  <c r="Q147" i="2" s="1"/>
  <c r="M147" i="2"/>
  <c r="K147" i="2"/>
  <c r="I147" i="2"/>
  <c r="G147" i="2"/>
  <c r="E147" i="2"/>
  <c r="C147" i="2"/>
  <c r="AF146" i="2"/>
  <c r="AB146" i="2"/>
  <c r="Y146" i="2"/>
  <c r="V146" i="2"/>
  <c r="W146" i="2" s="1"/>
  <c r="S146" i="2"/>
  <c r="P146" i="2"/>
  <c r="Q146" i="2" s="1"/>
  <c r="M146" i="2"/>
  <c r="K146" i="2"/>
  <c r="I146" i="2"/>
  <c r="G146" i="2"/>
  <c r="E146" i="2"/>
  <c r="C146" i="2"/>
  <c r="AD181" i="2" l="1"/>
  <c r="AD150" i="2"/>
  <c r="W150" i="2"/>
  <c r="V181" i="2"/>
  <c r="N181" i="2"/>
  <c r="N150" i="2"/>
  <c r="N146" i="2"/>
  <c r="N148" i="2"/>
  <c r="AD147" i="2"/>
  <c r="AD146" i="2"/>
  <c r="N147" i="2"/>
  <c r="AD148" i="2"/>
  <c r="C145" i="2"/>
  <c r="E145" i="2"/>
  <c r="G145" i="2"/>
  <c r="I145" i="2"/>
  <c r="K145" i="2"/>
  <c r="M145" i="2"/>
  <c r="P145" i="2"/>
  <c r="Q145" i="2" s="1"/>
  <c r="S145" i="2"/>
  <c r="V145" i="2"/>
  <c r="W145" i="2" s="1"/>
  <c r="Y145" i="2"/>
  <c r="AB145" i="2"/>
  <c r="AF145" i="2"/>
  <c r="AF144" i="2"/>
  <c r="AB144" i="2"/>
  <c r="Y144" i="2"/>
  <c r="V144" i="2"/>
  <c r="W144" i="2" s="1"/>
  <c r="S144" i="2"/>
  <c r="P144" i="2"/>
  <c r="Q144" i="2" s="1"/>
  <c r="M144" i="2"/>
  <c r="K144" i="2"/>
  <c r="I144" i="2"/>
  <c r="G144" i="2"/>
  <c r="E144" i="2"/>
  <c r="C144" i="2"/>
  <c r="M143" i="2"/>
  <c r="K143" i="2"/>
  <c r="I143" i="2"/>
  <c r="G143" i="2"/>
  <c r="E143" i="2"/>
  <c r="C143" i="2"/>
  <c r="P143" i="2"/>
  <c r="Q143" i="2" s="1"/>
  <c r="S143" i="2"/>
  <c r="V143" i="2"/>
  <c r="W143" i="2" s="1"/>
  <c r="Y143" i="2"/>
  <c r="AB143" i="2"/>
  <c r="AF143" i="2"/>
  <c r="AF142" i="2"/>
  <c r="AB142" i="2"/>
  <c r="Y142" i="2"/>
  <c r="V142" i="2"/>
  <c r="W142" i="2" s="1"/>
  <c r="S142" i="2"/>
  <c r="P142" i="2"/>
  <c r="Q142" i="2" s="1"/>
  <c r="M142" i="2"/>
  <c r="K142" i="2"/>
  <c r="I142" i="2"/>
  <c r="G142" i="2"/>
  <c r="E142" i="2"/>
  <c r="C142" i="2"/>
  <c r="AF141" i="2"/>
  <c r="AB141" i="2"/>
  <c r="Y141" i="2"/>
  <c r="V141" i="2"/>
  <c r="W141" i="2" s="1"/>
  <c r="S141" i="2"/>
  <c r="P141" i="2"/>
  <c r="Q141" i="2" s="1"/>
  <c r="M141" i="2"/>
  <c r="K141" i="2"/>
  <c r="I141" i="2"/>
  <c r="G141" i="2"/>
  <c r="E141" i="2"/>
  <c r="C141" i="2"/>
  <c r="N143" i="2" l="1"/>
  <c r="N141" i="2"/>
  <c r="N142" i="2"/>
  <c r="AD141" i="2"/>
  <c r="AD142" i="2"/>
  <c r="AD144" i="2"/>
  <c r="N145" i="2"/>
  <c r="AD145" i="2"/>
  <c r="N144" i="2"/>
  <c r="AD143" i="2"/>
  <c r="AF140" i="2" l="1"/>
  <c r="AB140" i="2"/>
  <c r="Y140" i="2"/>
  <c r="V140" i="2"/>
  <c r="W140" i="2" s="1"/>
  <c r="S140" i="2"/>
  <c r="P140" i="2"/>
  <c r="Q140" i="2" s="1"/>
  <c r="M140" i="2"/>
  <c r="K140" i="2"/>
  <c r="I140" i="2"/>
  <c r="G140" i="2"/>
  <c r="E140" i="2"/>
  <c r="C140" i="2"/>
  <c r="AF139" i="2"/>
  <c r="AB139" i="2"/>
  <c r="Y139" i="2"/>
  <c r="V139" i="2"/>
  <c r="W139" i="2" s="1"/>
  <c r="S139" i="2"/>
  <c r="P139" i="2"/>
  <c r="Q139" i="2" s="1"/>
  <c r="M139" i="2"/>
  <c r="K139" i="2"/>
  <c r="I139" i="2"/>
  <c r="G139" i="2"/>
  <c r="E139" i="2"/>
  <c r="C139" i="2"/>
  <c r="AF138" i="2"/>
  <c r="AB138" i="2"/>
  <c r="Y138" i="2"/>
  <c r="V138" i="2"/>
  <c r="W138" i="2" s="1"/>
  <c r="S138" i="2"/>
  <c r="P138" i="2"/>
  <c r="Q138" i="2" s="1"/>
  <c r="M138" i="2"/>
  <c r="K138" i="2"/>
  <c r="I138" i="2"/>
  <c r="G138" i="2"/>
  <c r="E138" i="2"/>
  <c r="C138" i="2"/>
  <c r="AF136" i="2"/>
  <c r="AF137" i="2"/>
  <c r="AB136" i="2"/>
  <c r="AB137" i="2"/>
  <c r="Y136" i="2"/>
  <c r="Y137" i="2"/>
  <c r="V136" i="2"/>
  <c r="W136" i="2" s="1"/>
  <c r="V137" i="2"/>
  <c r="W137" i="2" s="1"/>
  <c r="S136" i="2"/>
  <c r="S137" i="2"/>
  <c r="P136" i="2"/>
  <c r="Q136" i="2" s="1"/>
  <c r="P137" i="2"/>
  <c r="Q137" i="2" s="1"/>
  <c r="M136" i="2"/>
  <c r="M137" i="2"/>
  <c r="K136" i="2"/>
  <c r="K137" i="2"/>
  <c r="I136" i="2"/>
  <c r="I137" i="2"/>
  <c r="G136" i="2"/>
  <c r="G137" i="2"/>
  <c r="E136" i="2"/>
  <c r="E137" i="2"/>
  <c r="C136" i="2"/>
  <c r="C137" i="2"/>
  <c r="AF135" i="2"/>
  <c r="AB135" i="2"/>
  <c r="Y135" i="2"/>
  <c r="V135" i="2"/>
  <c r="W135" i="2" s="1"/>
  <c r="S135" i="2"/>
  <c r="P135" i="2"/>
  <c r="Q135" i="2" s="1"/>
  <c r="M135" i="2"/>
  <c r="K135" i="2"/>
  <c r="I135" i="2"/>
  <c r="G135" i="2"/>
  <c r="E135" i="2"/>
  <c r="C135" i="2"/>
  <c r="N139" i="2" l="1"/>
  <c r="N140" i="2"/>
  <c r="N135" i="2"/>
  <c r="N138" i="2"/>
  <c r="N137" i="2"/>
  <c r="AD137" i="2"/>
  <c r="AD136" i="2"/>
  <c r="N136" i="2"/>
  <c r="AD140" i="2"/>
  <c r="AD138" i="2"/>
  <c r="AD139" i="2"/>
  <c r="AD135" i="2"/>
  <c r="AF134" i="2"/>
  <c r="AB134" i="2"/>
  <c r="Y134" i="2"/>
  <c r="V134" i="2"/>
  <c r="W134" i="2" s="1"/>
  <c r="S134" i="2"/>
  <c r="P134" i="2"/>
  <c r="Q134" i="2" s="1"/>
  <c r="M134" i="2"/>
  <c r="K134" i="2"/>
  <c r="I134" i="2"/>
  <c r="G134" i="2"/>
  <c r="E134" i="2"/>
  <c r="C134" i="2"/>
  <c r="N134" i="2" l="1"/>
  <c r="AD134" i="2"/>
  <c r="AF133" i="2" l="1"/>
  <c r="AB133" i="2"/>
  <c r="Y133" i="2"/>
  <c r="V133" i="2"/>
  <c r="W133" i="2" s="1"/>
  <c r="S133" i="2"/>
  <c r="P133" i="2"/>
  <c r="Q133" i="2" s="1"/>
  <c r="M133" i="2"/>
  <c r="K133" i="2"/>
  <c r="I133" i="2"/>
  <c r="G133" i="2"/>
  <c r="E133" i="2"/>
  <c r="C133" i="2"/>
  <c r="AF132" i="2"/>
  <c r="AB132" i="2"/>
  <c r="Y132" i="2"/>
  <c r="V132" i="2"/>
  <c r="W132" i="2" s="1"/>
  <c r="S132" i="2"/>
  <c r="P132" i="2"/>
  <c r="Q132" i="2" s="1"/>
  <c r="M132" i="2"/>
  <c r="K132" i="2"/>
  <c r="I132" i="2"/>
  <c r="G132" i="2"/>
  <c r="E132" i="2"/>
  <c r="C132" i="2"/>
  <c r="AF131" i="2"/>
  <c r="AB131" i="2"/>
  <c r="Y131" i="2"/>
  <c r="V131" i="2"/>
  <c r="W131" i="2" s="1"/>
  <c r="S131" i="2"/>
  <c r="P131" i="2"/>
  <c r="Q131" i="2" s="1"/>
  <c r="M131" i="2"/>
  <c r="K131" i="2"/>
  <c r="I131" i="2"/>
  <c r="G131" i="2"/>
  <c r="E131" i="2"/>
  <c r="C131" i="2"/>
  <c r="N132" i="2" l="1"/>
  <c r="N131" i="2"/>
  <c r="N133" i="2"/>
  <c r="AD132" i="2"/>
  <c r="AD131" i="2"/>
  <c r="AD133" i="2"/>
  <c r="AF107" i="2"/>
  <c r="AF108" i="2"/>
  <c r="AF109" i="2"/>
  <c r="AF110" i="2"/>
  <c r="AF111" i="2"/>
  <c r="AF112" i="2"/>
  <c r="AF113" i="2"/>
  <c r="AF114" i="2"/>
  <c r="AF115" i="2"/>
  <c r="AF116" i="2"/>
  <c r="AF117" i="2"/>
  <c r="AF119" i="2"/>
  <c r="AF120" i="2"/>
  <c r="AF121" i="2"/>
  <c r="AF122" i="2"/>
  <c r="AF123" i="2"/>
  <c r="AF124" i="2"/>
  <c r="AF125" i="2"/>
  <c r="AF126" i="2"/>
  <c r="AF127" i="2"/>
  <c r="AF106" i="2"/>
  <c r="AB107" i="2"/>
  <c r="AB108" i="2"/>
  <c r="AB109" i="2"/>
  <c r="AB110" i="2"/>
  <c r="AB111" i="2"/>
  <c r="AB112" i="2"/>
  <c r="AB113" i="2"/>
  <c r="AB114" i="2"/>
  <c r="AB115" i="2"/>
  <c r="AB116" i="2"/>
  <c r="AB117" i="2"/>
  <c r="AB119" i="2"/>
  <c r="AB120" i="2"/>
  <c r="AB121" i="2"/>
  <c r="AB122" i="2"/>
  <c r="AB123" i="2"/>
  <c r="AB124" i="2"/>
  <c r="AB125" i="2"/>
  <c r="AB126" i="2"/>
  <c r="AB127" i="2"/>
  <c r="AB106" i="2"/>
  <c r="Y107" i="2"/>
  <c r="Y108" i="2"/>
  <c r="Y109" i="2"/>
  <c r="Y110" i="2"/>
  <c r="Y111" i="2"/>
  <c r="Y112" i="2"/>
  <c r="Y113" i="2"/>
  <c r="Y114" i="2"/>
  <c r="Y115" i="2"/>
  <c r="Y116" i="2"/>
  <c r="Y117" i="2"/>
  <c r="Y119" i="2"/>
  <c r="Y120" i="2"/>
  <c r="Y121" i="2"/>
  <c r="Y122" i="2"/>
  <c r="Y123" i="2"/>
  <c r="Y124" i="2"/>
  <c r="Y125" i="2"/>
  <c r="Y126" i="2"/>
  <c r="Y127" i="2"/>
  <c r="Y106" i="2"/>
  <c r="V107" i="2"/>
  <c r="W107" i="2" s="1"/>
  <c r="V108" i="2"/>
  <c r="W108" i="2" s="1"/>
  <c r="V109" i="2"/>
  <c r="W109" i="2" s="1"/>
  <c r="V110" i="2"/>
  <c r="W110" i="2" s="1"/>
  <c r="V111" i="2"/>
  <c r="W111" i="2" s="1"/>
  <c r="V112" i="2"/>
  <c r="W112" i="2" s="1"/>
  <c r="V113" i="2"/>
  <c r="W113" i="2" s="1"/>
  <c r="V114" i="2"/>
  <c r="W114" i="2" s="1"/>
  <c r="V115" i="2"/>
  <c r="W115" i="2" s="1"/>
  <c r="V116" i="2"/>
  <c r="W116" i="2" s="1"/>
  <c r="V117" i="2"/>
  <c r="W117" i="2" s="1"/>
  <c r="V119" i="2"/>
  <c r="V120" i="2"/>
  <c r="W120" i="2" s="1"/>
  <c r="V121" i="2"/>
  <c r="W121" i="2" s="1"/>
  <c r="V122" i="2"/>
  <c r="W122" i="2" s="1"/>
  <c r="V123" i="2"/>
  <c r="W123" i="2" s="1"/>
  <c r="V124" i="2"/>
  <c r="W124" i="2" s="1"/>
  <c r="V125" i="2"/>
  <c r="W125" i="2" s="1"/>
  <c r="V126" i="2"/>
  <c r="W126" i="2" s="1"/>
  <c r="V127" i="2"/>
  <c r="W127" i="2" s="1"/>
  <c r="V106" i="2"/>
  <c r="W106" i="2" s="1"/>
  <c r="S107" i="2"/>
  <c r="S108" i="2"/>
  <c r="S109" i="2"/>
  <c r="S110" i="2"/>
  <c r="S111" i="2"/>
  <c r="S112" i="2"/>
  <c r="S113" i="2"/>
  <c r="S114" i="2"/>
  <c r="S115" i="2"/>
  <c r="S116" i="2"/>
  <c r="S117" i="2"/>
  <c r="S119" i="2"/>
  <c r="S120" i="2"/>
  <c r="S121" i="2"/>
  <c r="S122" i="2"/>
  <c r="S123" i="2"/>
  <c r="S124" i="2"/>
  <c r="S125" i="2"/>
  <c r="S126" i="2"/>
  <c r="S127" i="2"/>
  <c r="S106" i="2"/>
  <c r="P107" i="2"/>
  <c r="Q107" i="2" s="1"/>
  <c r="P108" i="2"/>
  <c r="Q108" i="2" s="1"/>
  <c r="P109" i="2"/>
  <c r="Q109" i="2" s="1"/>
  <c r="P110" i="2"/>
  <c r="Q110" i="2" s="1"/>
  <c r="P111" i="2"/>
  <c r="Q111" i="2" s="1"/>
  <c r="P112" i="2"/>
  <c r="Q112" i="2" s="1"/>
  <c r="P113" i="2"/>
  <c r="Q113" i="2" s="1"/>
  <c r="P114" i="2"/>
  <c r="Q114" i="2" s="1"/>
  <c r="P115" i="2"/>
  <c r="Q115" i="2" s="1"/>
  <c r="P116" i="2"/>
  <c r="Q116" i="2" s="1"/>
  <c r="P117" i="2"/>
  <c r="Q117" i="2" s="1"/>
  <c r="P119" i="2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127" i="2"/>
  <c r="Q127" i="2" s="1"/>
  <c r="P106" i="2"/>
  <c r="Q106" i="2" s="1"/>
  <c r="M107" i="2"/>
  <c r="M108" i="2"/>
  <c r="M109" i="2"/>
  <c r="M110" i="2"/>
  <c r="M111" i="2"/>
  <c r="M112" i="2"/>
  <c r="M113" i="2"/>
  <c r="M114" i="2"/>
  <c r="M115" i="2"/>
  <c r="M116" i="2"/>
  <c r="M117" i="2"/>
  <c r="M119" i="2"/>
  <c r="M120" i="2"/>
  <c r="M121" i="2"/>
  <c r="M122" i="2"/>
  <c r="M123" i="2"/>
  <c r="M124" i="2"/>
  <c r="M125" i="2"/>
  <c r="M126" i="2"/>
  <c r="M127" i="2"/>
  <c r="M106" i="2"/>
  <c r="K107" i="2"/>
  <c r="K108" i="2"/>
  <c r="K109" i="2"/>
  <c r="K110" i="2"/>
  <c r="K111" i="2"/>
  <c r="K112" i="2"/>
  <c r="K113" i="2"/>
  <c r="K114" i="2"/>
  <c r="K115" i="2"/>
  <c r="K116" i="2"/>
  <c r="K117" i="2"/>
  <c r="K119" i="2"/>
  <c r="K120" i="2"/>
  <c r="K121" i="2"/>
  <c r="K122" i="2"/>
  <c r="K123" i="2"/>
  <c r="K124" i="2"/>
  <c r="K125" i="2"/>
  <c r="K126" i="2"/>
  <c r="K127" i="2"/>
  <c r="K106" i="2"/>
  <c r="I107" i="2"/>
  <c r="I108" i="2"/>
  <c r="I109" i="2"/>
  <c r="I110" i="2"/>
  <c r="I111" i="2"/>
  <c r="I112" i="2"/>
  <c r="I113" i="2"/>
  <c r="I114" i="2"/>
  <c r="I115" i="2"/>
  <c r="I116" i="2"/>
  <c r="I117" i="2"/>
  <c r="I119" i="2"/>
  <c r="I120" i="2"/>
  <c r="I121" i="2"/>
  <c r="I122" i="2"/>
  <c r="I123" i="2"/>
  <c r="I124" i="2"/>
  <c r="I125" i="2"/>
  <c r="I126" i="2"/>
  <c r="I127" i="2"/>
  <c r="I106" i="2"/>
  <c r="G107" i="2"/>
  <c r="G108" i="2"/>
  <c r="G109" i="2"/>
  <c r="G110" i="2"/>
  <c r="G111" i="2"/>
  <c r="G112" i="2"/>
  <c r="G113" i="2"/>
  <c r="G114" i="2"/>
  <c r="G115" i="2"/>
  <c r="G116" i="2"/>
  <c r="G117" i="2"/>
  <c r="G119" i="2"/>
  <c r="G120" i="2"/>
  <c r="G121" i="2"/>
  <c r="G122" i="2"/>
  <c r="G123" i="2"/>
  <c r="G124" i="2"/>
  <c r="G125" i="2"/>
  <c r="G126" i="2"/>
  <c r="G127" i="2"/>
  <c r="G106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E124" i="2"/>
  <c r="E125" i="2"/>
  <c r="E126" i="2"/>
  <c r="E127" i="2"/>
  <c r="E106" i="2"/>
  <c r="C127" i="2"/>
  <c r="C107" i="2"/>
  <c r="C108" i="2"/>
  <c r="C109" i="2"/>
  <c r="C110" i="2"/>
  <c r="C111" i="2"/>
  <c r="C112" i="2"/>
  <c r="C113" i="2"/>
  <c r="C114" i="2"/>
  <c r="C115" i="2"/>
  <c r="C116" i="2"/>
  <c r="C117" i="2"/>
  <c r="C119" i="2"/>
  <c r="C120" i="2"/>
  <c r="C121" i="2"/>
  <c r="C122" i="2"/>
  <c r="C123" i="2"/>
  <c r="C124" i="2"/>
  <c r="C125" i="2"/>
  <c r="C126" i="2"/>
  <c r="C106" i="2"/>
  <c r="AF129" i="2"/>
  <c r="AF130" i="2"/>
  <c r="AB129" i="2"/>
  <c r="AB130" i="2"/>
  <c r="Y129" i="2"/>
  <c r="Y130" i="2"/>
  <c r="V129" i="2"/>
  <c r="W129" i="2" s="1"/>
  <c r="V130" i="2"/>
  <c r="W130" i="2" s="1"/>
  <c r="S129" i="2"/>
  <c r="S130" i="2"/>
  <c r="P129" i="2"/>
  <c r="Q129" i="2" s="1"/>
  <c r="P130" i="2"/>
  <c r="Q130" i="2" s="1"/>
  <c r="M129" i="2"/>
  <c r="M130" i="2"/>
  <c r="K129" i="2"/>
  <c r="K130" i="2"/>
  <c r="I129" i="2"/>
  <c r="I130" i="2"/>
  <c r="G129" i="2"/>
  <c r="G130" i="2"/>
  <c r="E129" i="2"/>
  <c r="E130" i="2"/>
  <c r="C129" i="2"/>
  <c r="C130" i="2"/>
  <c r="AF128" i="2"/>
  <c r="AB128" i="2"/>
  <c r="Y128" i="2"/>
  <c r="V128" i="2"/>
  <c r="W128" i="2" s="1"/>
  <c r="S128" i="2"/>
  <c r="P128" i="2"/>
  <c r="Q128" i="2" s="1"/>
  <c r="M128" i="2"/>
  <c r="K128" i="2"/>
  <c r="I128" i="2"/>
  <c r="G128" i="2"/>
  <c r="E128" i="2"/>
  <c r="C128" i="2"/>
  <c r="AF105" i="2"/>
  <c r="AB105" i="2"/>
  <c r="Y105" i="2"/>
  <c r="V105" i="2"/>
  <c r="W105" i="2" s="1"/>
  <c r="S105" i="2"/>
  <c r="P105" i="2"/>
  <c r="Q105" i="2" s="1"/>
  <c r="M105" i="2"/>
  <c r="K105" i="2"/>
  <c r="I105" i="2"/>
  <c r="G105" i="2"/>
  <c r="E105" i="2"/>
  <c r="C105" i="2"/>
  <c r="AF104" i="2"/>
  <c r="AB104" i="2"/>
  <c r="Y104" i="2"/>
  <c r="V104" i="2"/>
  <c r="W104" i="2" s="1"/>
  <c r="S104" i="2"/>
  <c r="P104" i="2"/>
  <c r="Q104" i="2" s="1"/>
  <c r="M104" i="2"/>
  <c r="K104" i="2"/>
  <c r="I104" i="2"/>
  <c r="G104" i="2"/>
  <c r="E104" i="2"/>
  <c r="C104" i="2"/>
  <c r="AF103" i="2"/>
  <c r="AB103" i="2"/>
  <c r="Y103" i="2"/>
  <c r="V103" i="2"/>
  <c r="W103" i="2" s="1"/>
  <c r="S103" i="2"/>
  <c r="P103" i="2"/>
  <c r="Q103" i="2" s="1"/>
  <c r="M103" i="2"/>
  <c r="K103" i="2"/>
  <c r="I103" i="2"/>
  <c r="G103" i="2"/>
  <c r="E103" i="2"/>
  <c r="C103" i="2"/>
  <c r="AF102" i="2"/>
  <c r="AB102" i="2"/>
  <c r="Y102" i="2"/>
  <c r="V102" i="2"/>
  <c r="W102" i="2" s="1"/>
  <c r="S102" i="2"/>
  <c r="P102" i="2"/>
  <c r="Q102" i="2" s="1"/>
  <c r="M102" i="2"/>
  <c r="K102" i="2"/>
  <c r="I102" i="2"/>
  <c r="G102" i="2"/>
  <c r="E102" i="2"/>
  <c r="C102" i="2"/>
  <c r="Y149" i="2" l="1"/>
  <c r="W119" i="2"/>
  <c r="W149" i="2" s="1"/>
  <c r="V149" i="2"/>
  <c r="M149" i="2"/>
  <c r="AD111" i="2"/>
  <c r="G149" i="2"/>
  <c r="Q119" i="2"/>
  <c r="Q149" i="2" s="1"/>
  <c r="P149" i="2"/>
  <c r="AB149" i="2"/>
  <c r="C149" i="2"/>
  <c r="I149" i="2"/>
  <c r="S149" i="2"/>
  <c r="E149" i="2"/>
  <c r="K149" i="2"/>
  <c r="N106" i="2"/>
  <c r="AD130" i="2"/>
  <c r="N130" i="2"/>
  <c r="N103" i="2"/>
  <c r="N124" i="2"/>
  <c r="N120" i="2"/>
  <c r="N111" i="2"/>
  <c r="AD124" i="2"/>
  <c r="AD117" i="2"/>
  <c r="N123" i="2"/>
  <c r="N119" i="2"/>
  <c r="N114" i="2"/>
  <c r="N110" i="2"/>
  <c r="N115" i="2"/>
  <c r="N107" i="2"/>
  <c r="AD121" i="2"/>
  <c r="AD112" i="2"/>
  <c r="N122" i="2"/>
  <c r="N117" i="2"/>
  <c r="N109" i="2"/>
  <c r="AD120" i="2"/>
  <c r="AD115" i="2"/>
  <c r="AD107" i="2"/>
  <c r="N129" i="2"/>
  <c r="N125" i="2"/>
  <c r="N121" i="2"/>
  <c r="N116" i="2"/>
  <c r="N112" i="2"/>
  <c r="N108" i="2"/>
  <c r="AD116" i="2"/>
  <c r="N126" i="2"/>
  <c r="N113" i="2"/>
  <c r="N128" i="2"/>
  <c r="AD122" i="2"/>
  <c r="AD126" i="2"/>
  <c r="AD113" i="2"/>
  <c r="AD109" i="2"/>
  <c r="AD125" i="2"/>
  <c r="AD108" i="2"/>
  <c r="AD129" i="2"/>
  <c r="AD119" i="2"/>
  <c r="AD123" i="2"/>
  <c r="AD114" i="2"/>
  <c r="AD110" i="2"/>
  <c r="AD106" i="2"/>
  <c r="N127" i="2"/>
  <c r="AD128" i="2"/>
  <c r="AD127" i="2"/>
  <c r="AD105" i="2"/>
  <c r="N102" i="2"/>
  <c r="AD103" i="2"/>
  <c r="AD102" i="2"/>
  <c r="N105" i="2"/>
  <c r="AD104" i="2"/>
  <c r="N104" i="2"/>
  <c r="N149" i="2" l="1"/>
  <c r="AF101" i="2"/>
  <c r="AB101" i="2"/>
  <c r="Y101" i="2"/>
  <c r="V101" i="2"/>
  <c r="W101" i="2" s="1"/>
  <c r="S101" i="2"/>
  <c r="P101" i="2"/>
  <c r="Q101" i="2" s="1"/>
  <c r="M101" i="2"/>
  <c r="K101" i="2"/>
  <c r="I101" i="2"/>
  <c r="G101" i="2"/>
  <c r="E101" i="2"/>
  <c r="C101" i="2"/>
  <c r="M25" i="2"/>
  <c r="AF100" i="2"/>
  <c r="AB100" i="2"/>
  <c r="Y100" i="2"/>
  <c r="V100" i="2"/>
  <c r="W100" i="2" s="1"/>
  <c r="S100" i="2"/>
  <c r="P100" i="2"/>
  <c r="Q100" i="2" s="1"/>
  <c r="M100" i="2"/>
  <c r="K100" i="2"/>
  <c r="I100" i="2"/>
  <c r="G100" i="2"/>
  <c r="E100" i="2"/>
  <c r="C100" i="2"/>
  <c r="AF99" i="2"/>
  <c r="AB99" i="2"/>
  <c r="Y99" i="2"/>
  <c r="V99" i="2"/>
  <c r="W99" i="2" s="1"/>
  <c r="S99" i="2"/>
  <c r="P99" i="2"/>
  <c r="Q99" i="2" s="1"/>
  <c r="M99" i="2"/>
  <c r="K99" i="2"/>
  <c r="I99" i="2"/>
  <c r="G99" i="2"/>
  <c r="E99" i="2"/>
  <c r="C99" i="2"/>
  <c r="AF98" i="2"/>
  <c r="AB98" i="2"/>
  <c r="Y98" i="2"/>
  <c r="V98" i="2"/>
  <c r="W98" i="2" s="1"/>
  <c r="S98" i="2"/>
  <c r="P98" i="2"/>
  <c r="Q98" i="2" s="1"/>
  <c r="M98" i="2"/>
  <c r="K98" i="2"/>
  <c r="I98" i="2"/>
  <c r="G98" i="2"/>
  <c r="E98" i="2"/>
  <c r="C98" i="2"/>
  <c r="N98" i="2" l="1"/>
  <c r="N99" i="2"/>
  <c r="N100" i="2"/>
  <c r="N101" i="2"/>
  <c r="AD101" i="2"/>
  <c r="AD99" i="2"/>
  <c r="AD98" i="2"/>
  <c r="AD100" i="2"/>
  <c r="AF97" i="2" l="1"/>
  <c r="AB97" i="2"/>
  <c r="Y97" i="2"/>
  <c r="V97" i="2"/>
  <c r="W97" i="2" s="1"/>
  <c r="S97" i="2"/>
  <c r="P97" i="2"/>
  <c r="Q97" i="2" s="1"/>
  <c r="M97" i="2"/>
  <c r="K97" i="2"/>
  <c r="I97" i="2"/>
  <c r="G97" i="2"/>
  <c r="E97" i="2"/>
  <c r="C97" i="2"/>
  <c r="AF96" i="2"/>
  <c r="AB96" i="2"/>
  <c r="Y96" i="2"/>
  <c r="V96" i="2"/>
  <c r="W96" i="2" s="1"/>
  <c r="S96" i="2"/>
  <c r="P96" i="2"/>
  <c r="Q96" i="2" s="1"/>
  <c r="M96" i="2"/>
  <c r="K96" i="2"/>
  <c r="I96" i="2"/>
  <c r="G96" i="2"/>
  <c r="E96" i="2"/>
  <c r="C96" i="2"/>
  <c r="N96" i="2" l="1"/>
  <c r="N97" i="2"/>
  <c r="AD96" i="2"/>
  <c r="AD97" i="2"/>
  <c r="AF95" i="2"/>
  <c r="AB95" i="2"/>
  <c r="Y95" i="2"/>
  <c r="V95" i="2"/>
  <c r="W95" i="2" s="1"/>
  <c r="S95" i="2"/>
  <c r="P95" i="2"/>
  <c r="Q95" i="2" s="1"/>
  <c r="M95" i="2"/>
  <c r="K95" i="2"/>
  <c r="I95" i="2"/>
  <c r="G95" i="2"/>
  <c r="E95" i="2"/>
  <c r="C95" i="2"/>
  <c r="AF94" i="2"/>
  <c r="AB94" i="2"/>
  <c r="Y94" i="2"/>
  <c r="V94" i="2"/>
  <c r="W94" i="2" s="1"/>
  <c r="S94" i="2"/>
  <c r="P94" i="2"/>
  <c r="Q94" i="2" s="1"/>
  <c r="M94" i="2"/>
  <c r="K94" i="2"/>
  <c r="I94" i="2"/>
  <c r="G94" i="2"/>
  <c r="E94" i="2"/>
  <c r="C94" i="2"/>
  <c r="AF93" i="2"/>
  <c r="AB93" i="2"/>
  <c r="Y93" i="2"/>
  <c r="V93" i="2"/>
  <c r="W93" i="2" s="1"/>
  <c r="S93" i="2"/>
  <c r="P93" i="2"/>
  <c r="Q93" i="2" s="1"/>
  <c r="M93" i="2"/>
  <c r="K93" i="2"/>
  <c r="I93" i="2"/>
  <c r="G93" i="2"/>
  <c r="E93" i="2"/>
  <c r="C93" i="2"/>
  <c r="M92" i="2"/>
  <c r="K92" i="2"/>
  <c r="I92" i="2"/>
  <c r="G92" i="2"/>
  <c r="E92" i="2"/>
  <c r="C92" i="2"/>
  <c r="P92" i="2"/>
  <c r="Q92" i="2" s="1"/>
  <c r="S92" i="2"/>
  <c r="V92" i="2"/>
  <c r="W92" i="2" s="1"/>
  <c r="Y92" i="2"/>
  <c r="AB92" i="2"/>
  <c r="AF92" i="2"/>
  <c r="AF91" i="2"/>
  <c r="AB91" i="2"/>
  <c r="Y91" i="2"/>
  <c r="V91" i="2"/>
  <c r="W91" i="2" s="1"/>
  <c r="S91" i="2"/>
  <c r="P91" i="2"/>
  <c r="Q91" i="2" s="1"/>
  <c r="M91" i="2"/>
  <c r="K91" i="2"/>
  <c r="I91" i="2"/>
  <c r="G91" i="2"/>
  <c r="E91" i="2"/>
  <c r="C91" i="2"/>
  <c r="AF90" i="2"/>
  <c r="AB90" i="2"/>
  <c r="Y90" i="2"/>
  <c r="V90" i="2"/>
  <c r="W90" i="2" s="1"/>
  <c r="S90" i="2"/>
  <c r="P90" i="2"/>
  <c r="Q90" i="2" s="1"/>
  <c r="M90" i="2"/>
  <c r="K90" i="2"/>
  <c r="I90" i="2"/>
  <c r="G90" i="2"/>
  <c r="E90" i="2"/>
  <c r="C90" i="2"/>
  <c r="N92" i="2" l="1"/>
  <c r="N90" i="2"/>
  <c r="N91" i="2"/>
  <c r="N93" i="2"/>
  <c r="N94" i="2"/>
  <c r="N95" i="2"/>
  <c r="AD93" i="2"/>
  <c r="AD91" i="2"/>
  <c r="AD95" i="2"/>
  <c r="AD94" i="2"/>
  <c r="AD92" i="2"/>
  <c r="AD90" i="2"/>
  <c r="AF89" i="2" l="1"/>
  <c r="AB89" i="2"/>
  <c r="Y89" i="2"/>
  <c r="V89" i="2"/>
  <c r="W89" i="2" s="1"/>
  <c r="S89" i="2"/>
  <c r="P89" i="2"/>
  <c r="Q89" i="2" s="1"/>
  <c r="M89" i="2"/>
  <c r="K89" i="2"/>
  <c r="I89" i="2"/>
  <c r="G89" i="2"/>
  <c r="E89" i="2"/>
  <c r="C89" i="2"/>
  <c r="AF88" i="2"/>
  <c r="AB88" i="2"/>
  <c r="AB118" i="2" s="1"/>
  <c r="Y88" i="2"/>
  <c r="Y118" i="2" s="1"/>
  <c r="V88" i="2"/>
  <c r="S88" i="2"/>
  <c r="S118" i="2" s="1"/>
  <c r="P88" i="2"/>
  <c r="M88" i="2"/>
  <c r="M118" i="2" s="1"/>
  <c r="K88" i="2"/>
  <c r="K118" i="2" s="1"/>
  <c r="I88" i="2"/>
  <c r="I118" i="2" s="1"/>
  <c r="G88" i="2"/>
  <c r="G118" i="2" s="1"/>
  <c r="E88" i="2"/>
  <c r="C88" i="2"/>
  <c r="C118" i="2" s="1"/>
  <c r="K17" i="2"/>
  <c r="G17" i="2"/>
  <c r="M17" i="2"/>
  <c r="AF86" i="2"/>
  <c r="AB86" i="2"/>
  <c r="Y86" i="2"/>
  <c r="V86" i="2"/>
  <c r="W86" i="2" s="1"/>
  <c r="S86" i="2"/>
  <c r="P86" i="2"/>
  <c r="Q86" i="2" s="1"/>
  <c r="M86" i="2"/>
  <c r="K86" i="2"/>
  <c r="I86" i="2"/>
  <c r="G86" i="2"/>
  <c r="E86" i="2"/>
  <c r="C86" i="2"/>
  <c r="AF85" i="2"/>
  <c r="AB85" i="2"/>
  <c r="Y85" i="2"/>
  <c r="M85" i="2"/>
  <c r="K85" i="2"/>
  <c r="I85" i="2"/>
  <c r="G85" i="2"/>
  <c r="E85" i="2"/>
  <c r="C85" i="2"/>
  <c r="V85" i="2"/>
  <c r="W85" i="2" s="1"/>
  <c r="S85" i="2"/>
  <c r="P85" i="2"/>
  <c r="Q85" i="2" s="1"/>
  <c r="AF84" i="2"/>
  <c r="AB84" i="2"/>
  <c r="Y84" i="2"/>
  <c r="V84" i="2"/>
  <c r="W84" i="2" s="1"/>
  <c r="S84" i="2"/>
  <c r="P84" i="2"/>
  <c r="Q84" i="2" s="1"/>
  <c r="M84" i="2"/>
  <c r="K84" i="2"/>
  <c r="I84" i="2"/>
  <c r="G84" i="2"/>
  <c r="E84" i="2"/>
  <c r="C84" i="2"/>
  <c r="E118" i="2" l="1"/>
  <c r="W88" i="2"/>
  <c r="W118" i="2" s="1"/>
  <c r="V118" i="2"/>
  <c r="Q88" i="2"/>
  <c r="Q118" i="2" s="1"/>
  <c r="P118" i="2"/>
  <c r="N85" i="2"/>
  <c r="N88" i="2"/>
  <c r="N84" i="2"/>
  <c r="N86" i="2"/>
  <c r="N89" i="2"/>
  <c r="AD89" i="2"/>
  <c r="AD88" i="2"/>
  <c r="AD85" i="2"/>
  <c r="AD86" i="2"/>
  <c r="AD84" i="2"/>
  <c r="AF83" i="2"/>
  <c r="AB83" i="2"/>
  <c r="Y83" i="2"/>
  <c r="V83" i="2"/>
  <c r="W83" i="2" s="1"/>
  <c r="S83" i="2"/>
  <c r="P83" i="2"/>
  <c r="Q83" i="2" s="1"/>
  <c r="M83" i="2"/>
  <c r="K83" i="2"/>
  <c r="I83" i="2"/>
  <c r="G83" i="2"/>
  <c r="E83" i="2"/>
  <c r="C83" i="2"/>
  <c r="AF82" i="2"/>
  <c r="AB82" i="2"/>
  <c r="Y82" i="2"/>
  <c r="V82" i="2"/>
  <c r="W82" i="2" s="1"/>
  <c r="S82" i="2"/>
  <c r="P82" i="2"/>
  <c r="Q82" i="2" s="1"/>
  <c r="M82" i="2"/>
  <c r="K82" i="2"/>
  <c r="I82" i="2"/>
  <c r="G82" i="2"/>
  <c r="E82" i="2"/>
  <c r="C82" i="2"/>
  <c r="N118" i="2" l="1"/>
  <c r="N82" i="2"/>
  <c r="N83" i="2"/>
  <c r="AD83" i="2"/>
  <c r="AD82" i="2"/>
  <c r="AF81" i="2"/>
  <c r="M81" i="2"/>
  <c r="K81" i="2"/>
  <c r="I81" i="2"/>
  <c r="G81" i="2"/>
  <c r="E81" i="2"/>
  <c r="C81" i="2"/>
  <c r="AB81" i="2"/>
  <c r="Y81" i="2"/>
  <c r="V81" i="2"/>
  <c r="W81" i="2" s="1"/>
  <c r="S81" i="2"/>
  <c r="P81" i="2"/>
  <c r="Q81" i="2" s="1"/>
  <c r="E80" i="2"/>
  <c r="C80" i="2"/>
  <c r="G80" i="2"/>
  <c r="I80" i="2"/>
  <c r="K80" i="2"/>
  <c r="M80" i="2"/>
  <c r="AF80" i="2"/>
  <c r="AB80" i="2"/>
  <c r="Y80" i="2"/>
  <c r="V80" i="2"/>
  <c r="W80" i="2" s="1"/>
  <c r="S80" i="2"/>
  <c r="P80" i="2"/>
  <c r="Q80" i="2" s="1"/>
  <c r="G16" i="2"/>
  <c r="M16" i="2"/>
  <c r="K16" i="2"/>
  <c r="M79" i="2"/>
  <c r="K79" i="2"/>
  <c r="I79" i="2"/>
  <c r="G79" i="2"/>
  <c r="E79" i="2"/>
  <c r="C79" i="2"/>
  <c r="AF79" i="2"/>
  <c r="AB79" i="2"/>
  <c r="Y79" i="2"/>
  <c r="V79" i="2"/>
  <c r="W79" i="2" s="1"/>
  <c r="S79" i="2"/>
  <c r="P79" i="2"/>
  <c r="Q79" i="2" s="1"/>
  <c r="N16" i="2" l="1"/>
  <c r="N81" i="2"/>
  <c r="N79" i="2"/>
  <c r="N80" i="2"/>
  <c r="N17" i="2"/>
  <c r="AD81" i="2"/>
  <c r="AD80" i="2"/>
  <c r="AD79" i="2"/>
  <c r="M78" i="2" l="1"/>
  <c r="K78" i="2"/>
  <c r="I78" i="2"/>
  <c r="G78" i="2"/>
  <c r="E78" i="2"/>
  <c r="C78" i="2"/>
  <c r="AF78" i="2"/>
  <c r="AB78" i="2"/>
  <c r="Y78" i="2"/>
  <c r="V78" i="2"/>
  <c r="W78" i="2" s="1"/>
  <c r="S78" i="2"/>
  <c r="P78" i="2"/>
  <c r="Q78" i="2" s="1"/>
  <c r="M77" i="2"/>
  <c r="K77" i="2"/>
  <c r="I77" i="2"/>
  <c r="G77" i="2"/>
  <c r="E77" i="2"/>
  <c r="C77" i="2"/>
  <c r="AF77" i="2"/>
  <c r="AB77" i="2"/>
  <c r="Y77" i="2"/>
  <c r="V77" i="2"/>
  <c r="W77" i="2" s="1"/>
  <c r="S77" i="2"/>
  <c r="P77" i="2"/>
  <c r="Q77" i="2" s="1"/>
  <c r="N77" i="2" l="1"/>
  <c r="N78" i="2"/>
  <c r="AD78" i="2"/>
  <c r="AD77" i="2"/>
  <c r="M76" i="2" l="1"/>
  <c r="K76" i="2"/>
  <c r="I76" i="2"/>
  <c r="G76" i="2"/>
  <c r="E76" i="2"/>
  <c r="C76" i="2"/>
  <c r="AF76" i="2"/>
  <c r="AB76" i="2"/>
  <c r="Y76" i="2"/>
  <c r="V76" i="2"/>
  <c r="W76" i="2" s="1"/>
  <c r="S76" i="2"/>
  <c r="P76" i="2"/>
  <c r="Q76" i="2" s="1"/>
  <c r="M75" i="2"/>
  <c r="K75" i="2"/>
  <c r="I75" i="2"/>
  <c r="G75" i="2"/>
  <c r="E75" i="2"/>
  <c r="C75" i="2"/>
  <c r="AF75" i="2"/>
  <c r="AB75" i="2"/>
  <c r="Y75" i="2"/>
  <c r="V75" i="2"/>
  <c r="W75" i="2" s="1"/>
  <c r="S75" i="2"/>
  <c r="P75" i="2"/>
  <c r="Q75" i="2" s="1"/>
  <c r="N75" i="2" l="1"/>
  <c r="N76" i="2"/>
  <c r="AD76" i="2"/>
  <c r="AD75" i="2"/>
  <c r="V74" i="2" l="1"/>
  <c r="W74" i="2" s="1"/>
  <c r="S74" i="2"/>
  <c r="P74" i="2"/>
  <c r="Q74" i="2" s="1"/>
  <c r="M74" i="2"/>
  <c r="K74" i="2"/>
  <c r="I74" i="2"/>
  <c r="G74" i="2"/>
  <c r="E74" i="2"/>
  <c r="C74" i="2"/>
  <c r="AF70" i="2"/>
  <c r="AF71" i="2"/>
  <c r="AF72" i="2"/>
  <c r="AF73" i="2"/>
  <c r="AF74" i="2"/>
  <c r="AB74" i="2"/>
  <c r="Y74" i="2"/>
  <c r="M73" i="2"/>
  <c r="K73" i="2"/>
  <c r="I73" i="2"/>
  <c r="G73" i="2"/>
  <c r="E73" i="2"/>
  <c r="C73" i="2"/>
  <c r="AB73" i="2"/>
  <c r="Y73" i="2"/>
  <c r="V73" i="2"/>
  <c r="W73" i="2" s="1"/>
  <c r="S73" i="2"/>
  <c r="P73" i="2"/>
  <c r="Q73" i="2" s="1"/>
  <c r="AB72" i="2"/>
  <c r="I72" i="2"/>
  <c r="G72" i="2"/>
  <c r="E72" i="2"/>
  <c r="C72" i="2"/>
  <c r="K72" i="2"/>
  <c r="M72" i="2"/>
  <c r="P72" i="2"/>
  <c r="Q72" i="2" s="1"/>
  <c r="S72" i="2"/>
  <c r="V72" i="2"/>
  <c r="W72" i="2" s="1"/>
  <c r="Y72" i="2"/>
  <c r="M71" i="2"/>
  <c r="I71" i="2"/>
  <c r="G71" i="2"/>
  <c r="E71" i="2"/>
  <c r="C71" i="2"/>
  <c r="AB71" i="2"/>
  <c r="Y71" i="2"/>
  <c r="V71" i="2"/>
  <c r="W71" i="2" s="1"/>
  <c r="S71" i="2"/>
  <c r="P71" i="2"/>
  <c r="Q71" i="2" s="1"/>
  <c r="AB70" i="2"/>
  <c r="Y70" i="2"/>
  <c r="V70" i="2"/>
  <c r="W70" i="2" s="1"/>
  <c r="S70" i="2"/>
  <c r="M70" i="2"/>
  <c r="K70" i="2"/>
  <c r="I70" i="2"/>
  <c r="G70" i="2"/>
  <c r="E70" i="2"/>
  <c r="C70" i="2"/>
  <c r="P70" i="2"/>
  <c r="Q70" i="2" s="1"/>
  <c r="N70" i="2" l="1"/>
  <c r="N73" i="2"/>
  <c r="N72" i="2"/>
  <c r="N74" i="2"/>
  <c r="N71" i="2"/>
  <c r="AD70" i="2"/>
  <c r="AD72" i="2"/>
  <c r="AD74" i="2"/>
  <c r="AD73" i="2"/>
  <c r="AD71" i="2"/>
  <c r="AF69" i="2" l="1"/>
  <c r="AB69" i="2"/>
  <c r="Y69" i="2"/>
  <c r="V69" i="2"/>
  <c r="W69" i="2" s="1"/>
  <c r="S69" i="2"/>
  <c r="P69" i="2"/>
  <c r="Q69" i="2" s="1"/>
  <c r="M69" i="2"/>
  <c r="K69" i="2"/>
  <c r="I69" i="2"/>
  <c r="G69" i="2"/>
  <c r="E69" i="2"/>
  <c r="C69" i="2"/>
  <c r="N69" i="2" l="1"/>
  <c r="AD69" i="2"/>
  <c r="M68" i="2"/>
  <c r="K68" i="2"/>
  <c r="I68" i="2"/>
  <c r="G68" i="2"/>
  <c r="E68" i="2"/>
  <c r="C68" i="2"/>
  <c r="AF68" i="2"/>
  <c r="AB68" i="2"/>
  <c r="Y68" i="2"/>
  <c r="V68" i="2"/>
  <c r="W68" i="2" s="1"/>
  <c r="S68" i="2"/>
  <c r="P68" i="2"/>
  <c r="Q68" i="2" s="1"/>
  <c r="M67" i="2"/>
  <c r="K67" i="2"/>
  <c r="I67" i="2"/>
  <c r="G67" i="2"/>
  <c r="E67" i="2"/>
  <c r="C67" i="2"/>
  <c r="AF67" i="2"/>
  <c r="AB67" i="2"/>
  <c r="Y67" i="2"/>
  <c r="V67" i="2"/>
  <c r="W67" i="2" s="1"/>
  <c r="S67" i="2"/>
  <c r="P67" i="2"/>
  <c r="Q67" i="2" s="1"/>
  <c r="M65" i="2"/>
  <c r="M66" i="2"/>
  <c r="K65" i="2"/>
  <c r="K66" i="2"/>
  <c r="I65" i="2"/>
  <c r="I66" i="2"/>
  <c r="G65" i="2"/>
  <c r="G66" i="2"/>
  <c r="E65" i="2"/>
  <c r="E66" i="2"/>
  <c r="C65" i="2"/>
  <c r="C66" i="2"/>
  <c r="AF64" i="2"/>
  <c r="AF65" i="2"/>
  <c r="AF66" i="2"/>
  <c r="AB65" i="2"/>
  <c r="AB66" i="2"/>
  <c r="Y65" i="2"/>
  <c r="Y66" i="2"/>
  <c r="V65" i="2"/>
  <c r="W65" i="2" s="1"/>
  <c r="V66" i="2"/>
  <c r="W66" i="2" s="1"/>
  <c r="S65" i="2"/>
  <c r="S66" i="2"/>
  <c r="P65" i="2"/>
  <c r="Q65" i="2" s="1"/>
  <c r="P66" i="2"/>
  <c r="Q66" i="2" s="1"/>
  <c r="M64" i="2"/>
  <c r="K64" i="2"/>
  <c r="I64" i="2"/>
  <c r="G64" i="2"/>
  <c r="E64" i="2"/>
  <c r="C64" i="2"/>
  <c r="S64" i="2"/>
  <c r="P64" i="2"/>
  <c r="Q64" i="2" s="1"/>
  <c r="V64" i="2"/>
  <c r="W64" i="2" s="1"/>
  <c r="AB64" i="2"/>
  <c r="Y64" i="2"/>
  <c r="AF63" i="2"/>
  <c r="AB63" i="2"/>
  <c r="M63" i="2"/>
  <c r="K63" i="2"/>
  <c r="I63" i="2"/>
  <c r="G63" i="2"/>
  <c r="E63" i="2"/>
  <c r="C63" i="2"/>
  <c r="P63" i="2"/>
  <c r="Q63" i="2" s="1"/>
  <c r="S63" i="2"/>
  <c r="V63" i="2"/>
  <c r="W63" i="2" s="1"/>
  <c r="Y63" i="2"/>
  <c r="M62" i="2"/>
  <c r="K62" i="2"/>
  <c r="I62" i="2"/>
  <c r="G62" i="2"/>
  <c r="E62" i="2"/>
  <c r="C62" i="2"/>
  <c r="V62" i="2"/>
  <c r="W62" i="2" s="1"/>
  <c r="S62" i="2"/>
  <c r="P62" i="2"/>
  <c r="Q62" i="2" s="1"/>
  <c r="AF62" i="2"/>
  <c r="AB62" i="2"/>
  <c r="Y62" i="2"/>
  <c r="AF60" i="2"/>
  <c r="AF61" i="2"/>
  <c r="M61" i="2"/>
  <c r="K61" i="2"/>
  <c r="I61" i="2"/>
  <c r="G61" i="2"/>
  <c r="E61" i="2"/>
  <c r="C61" i="2"/>
  <c r="AB61" i="2"/>
  <c r="Y61" i="2"/>
  <c r="V61" i="2"/>
  <c r="W61" i="2" s="1"/>
  <c r="S61" i="2"/>
  <c r="P61" i="2"/>
  <c r="Q61" i="2" s="1"/>
  <c r="AB59" i="2"/>
  <c r="AB60" i="2"/>
  <c r="C60" i="2"/>
  <c r="E60" i="2"/>
  <c r="G60" i="2"/>
  <c r="I60" i="2"/>
  <c r="K60" i="2"/>
  <c r="M60" i="2"/>
  <c r="Y60" i="2"/>
  <c r="V60" i="2"/>
  <c r="W60" i="2" s="1"/>
  <c r="S60" i="2"/>
  <c r="P60" i="2"/>
  <c r="Q60" i="2" s="1"/>
  <c r="M59" i="2"/>
  <c r="K59" i="2"/>
  <c r="I59" i="2"/>
  <c r="G59" i="2"/>
  <c r="E59" i="2"/>
  <c r="C59" i="2"/>
  <c r="AF59" i="2"/>
  <c r="Y59" i="2"/>
  <c r="S59" i="2"/>
  <c r="P59" i="2"/>
  <c r="Q59" i="2" s="1"/>
  <c r="V59" i="2"/>
  <c r="W59" i="2" s="1"/>
  <c r="M58" i="2"/>
  <c r="K58" i="2"/>
  <c r="I58" i="2"/>
  <c r="G58" i="2"/>
  <c r="E58" i="2"/>
  <c r="C58" i="2"/>
  <c r="AF58" i="2"/>
  <c r="AB58" i="2"/>
  <c r="Y58" i="2"/>
  <c r="V58" i="2"/>
  <c r="W58" i="2" s="1"/>
  <c r="S58" i="2"/>
  <c r="P58" i="2"/>
  <c r="Q58" i="2" s="1"/>
  <c r="N58" i="2" l="1"/>
  <c r="N65" i="2"/>
  <c r="N60" i="2"/>
  <c r="N67" i="2"/>
  <c r="N61" i="2"/>
  <c r="N63" i="2"/>
  <c r="N59" i="2"/>
  <c r="N64" i="2"/>
  <c r="N62" i="2"/>
  <c r="N66" i="2"/>
  <c r="N68" i="2"/>
  <c r="AD59" i="2"/>
  <c r="AD60" i="2"/>
  <c r="AD63" i="2"/>
  <c r="AD61" i="2"/>
  <c r="AD68" i="2"/>
  <c r="AD67" i="2"/>
  <c r="AD66" i="2"/>
  <c r="AD65" i="2"/>
  <c r="AD64" i="2"/>
  <c r="AD62" i="2"/>
  <c r="AD58" i="2"/>
  <c r="M57" i="2" l="1"/>
  <c r="M87" i="2" s="1"/>
  <c r="K57" i="2"/>
  <c r="K87" i="2" s="1"/>
  <c r="I57" i="2"/>
  <c r="I87" i="2" s="1"/>
  <c r="G57" i="2"/>
  <c r="E57" i="2"/>
  <c r="E87" i="2" s="1"/>
  <c r="C57" i="2"/>
  <c r="C87" i="2" s="1"/>
  <c r="AF57" i="2"/>
  <c r="AB57" i="2"/>
  <c r="AB87" i="2" s="1"/>
  <c r="Y57" i="2"/>
  <c r="V57" i="2"/>
  <c r="S57" i="2"/>
  <c r="S87" i="2" s="1"/>
  <c r="P57" i="2"/>
  <c r="AF55" i="2"/>
  <c r="AB55" i="2"/>
  <c r="E55" i="2"/>
  <c r="C55" i="2"/>
  <c r="G55" i="2"/>
  <c r="I55" i="2"/>
  <c r="K55" i="2"/>
  <c r="M55" i="2"/>
  <c r="P55" i="2"/>
  <c r="Q55" i="2" s="1"/>
  <c r="S55" i="2"/>
  <c r="V55" i="2"/>
  <c r="W55" i="2" s="1"/>
  <c r="Y54" i="2"/>
  <c r="Y55" i="2"/>
  <c r="M54" i="2"/>
  <c r="K54" i="2"/>
  <c r="I54" i="2"/>
  <c r="G54" i="2"/>
  <c r="E54" i="2"/>
  <c r="C54" i="2"/>
  <c r="P54" i="2"/>
  <c r="Q54" i="2" s="1"/>
  <c r="S54" i="2"/>
  <c r="V52" i="2"/>
  <c r="W52" i="2" s="1"/>
  <c r="V53" i="2"/>
  <c r="W53" i="2" s="1"/>
  <c r="V54" i="2"/>
  <c r="W54" i="2" s="1"/>
  <c r="AB54" i="2"/>
  <c r="AF54" i="2"/>
  <c r="AF53" i="2"/>
  <c r="AB53" i="2"/>
  <c r="E53" i="2"/>
  <c r="C53" i="2"/>
  <c r="G53" i="2"/>
  <c r="I53" i="2"/>
  <c r="K53" i="2"/>
  <c r="M53" i="2"/>
  <c r="P53" i="2"/>
  <c r="Q53" i="2" s="1"/>
  <c r="S53" i="2"/>
  <c r="Y53" i="2"/>
  <c r="W57" i="2" l="1"/>
  <c r="W87" i="2" s="1"/>
  <c r="V87" i="2"/>
  <c r="N57" i="2"/>
  <c r="N87" i="2" s="1"/>
  <c r="N54" i="2"/>
  <c r="N53" i="2"/>
  <c r="N55" i="2"/>
  <c r="G87" i="2"/>
  <c r="Q57" i="2"/>
  <c r="Q87" i="2" s="1"/>
  <c r="P87" i="2"/>
  <c r="AD55" i="2"/>
  <c r="AD57" i="2"/>
  <c r="AD54" i="2"/>
  <c r="AD53" i="2"/>
  <c r="AF52" i="2"/>
  <c r="M52" i="2"/>
  <c r="K52" i="2"/>
  <c r="I52" i="2"/>
  <c r="G52" i="2"/>
  <c r="E52" i="2"/>
  <c r="C52" i="2"/>
  <c r="AB52" i="2"/>
  <c r="Y52" i="2"/>
  <c r="S52" i="2"/>
  <c r="P52" i="2"/>
  <c r="Q52" i="2" s="1"/>
  <c r="AF51" i="2"/>
  <c r="I51" i="2"/>
  <c r="G51" i="2"/>
  <c r="E51" i="2"/>
  <c r="C51" i="2"/>
  <c r="K51" i="2"/>
  <c r="M51" i="2"/>
  <c r="P51" i="2"/>
  <c r="Q51" i="2" s="1"/>
  <c r="S51" i="2"/>
  <c r="V51" i="2"/>
  <c r="W51" i="2" s="1"/>
  <c r="AB51" i="2"/>
  <c r="Y51" i="2"/>
  <c r="N51" i="2" l="1"/>
  <c r="N52" i="2"/>
  <c r="AD52" i="2"/>
  <c r="AD51" i="2"/>
  <c r="C50" i="2"/>
  <c r="E50" i="2"/>
  <c r="G50" i="2"/>
  <c r="I50" i="2"/>
  <c r="K50" i="2"/>
  <c r="M50" i="2"/>
  <c r="P50" i="2"/>
  <c r="Q50" i="2" s="1"/>
  <c r="S50" i="2"/>
  <c r="V50" i="2"/>
  <c r="W50" i="2" s="1"/>
  <c r="Y50" i="2"/>
  <c r="AF50" i="2"/>
  <c r="AB50" i="2"/>
  <c r="V49" i="2"/>
  <c r="W49" i="2" s="1"/>
  <c r="S49" i="2"/>
  <c r="P49" i="2"/>
  <c r="Q49" i="2" s="1"/>
  <c r="M49" i="2"/>
  <c r="K49" i="2"/>
  <c r="I49" i="2"/>
  <c r="G49" i="2"/>
  <c r="E48" i="2"/>
  <c r="E49" i="2"/>
  <c r="C48" i="2"/>
  <c r="C49" i="2"/>
  <c r="AF49" i="2"/>
  <c r="AB49" i="2"/>
  <c r="Y49" i="2"/>
  <c r="AF48" i="2"/>
  <c r="AB48" i="2"/>
  <c r="G48" i="2"/>
  <c r="I48" i="2"/>
  <c r="K48" i="2"/>
  <c r="M48" i="2"/>
  <c r="P48" i="2"/>
  <c r="Q48" i="2" s="1"/>
  <c r="S48" i="2"/>
  <c r="V47" i="2"/>
  <c r="W47" i="2" s="1"/>
  <c r="V48" i="2"/>
  <c r="W48" i="2" s="1"/>
  <c r="Y48" i="2"/>
  <c r="E47" i="2"/>
  <c r="C47" i="2"/>
  <c r="G47" i="2"/>
  <c r="I47" i="2"/>
  <c r="K47" i="2"/>
  <c r="M47" i="2"/>
  <c r="S47" i="2"/>
  <c r="P47" i="2"/>
  <c r="Q47" i="2" s="1"/>
  <c r="AB47" i="2"/>
  <c r="Y47" i="2"/>
  <c r="M46" i="2"/>
  <c r="K46" i="2"/>
  <c r="I46" i="2"/>
  <c r="G46" i="2"/>
  <c r="E46" i="2"/>
  <c r="C46" i="2"/>
  <c r="AB46" i="2"/>
  <c r="Y46" i="2"/>
  <c r="V46" i="2"/>
  <c r="W46" i="2" s="1"/>
  <c r="S46" i="2"/>
  <c r="P46" i="2"/>
  <c r="Q46" i="2" s="1"/>
  <c r="N46" i="2" l="1"/>
  <c r="N49" i="2"/>
  <c r="N50" i="2"/>
  <c r="N48" i="2"/>
  <c r="N47" i="2"/>
  <c r="AD48" i="2"/>
  <c r="AD50" i="2"/>
  <c r="AD49" i="2"/>
  <c r="AD47" i="2"/>
  <c r="AD46" i="2"/>
  <c r="Y45" i="2" l="1"/>
  <c r="AB45" i="2"/>
  <c r="E45" i="2"/>
  <c r="C45" i="2"/>
  <c r="G45" i="2"/>
  <c r="I45" i="2"/>
  <c r="K45" i="2"/>
  <c r="M45" i="2"/>
  <c r="P45" i="2"/>
  <c r="Q45" i="2" s="1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V44" i="2"/>
  <c r="W44" i="2" s="1"/>
  <c r="V45" i="2"/>
  <c r="W45" i="2" s="1"/>
  <c r="AB44" i="2"/>
  <c r="M43" i="2"/>
  <c r="M44" i="2"/>
  <c r="K44" i="2"/>
  <c r="I44" i="2"/>
  <c r="G44" i="2"/>
  <c r="E44" i="2"/>
  <c r="C44" i="2"/>
  <c r="P44" i="2"/>
  <c r="Q44" i="2" s="1"/>
  <c r="Y44" i="2"/>
  <c r="K43" i="2"/>
  <c r="I43" i="2"/>
  <c r="G43" i="2"/>
  <c r="E43" i="2"/>
  <c r="C43" i="2"/>
  <c r="AB43" i="2"/>
  <c r="Y43" i="2"/>
  <c r="V43" i="2"/>
  <c r="W43" i="2" s="1"/>
  <c r="P43" i="2"/>
  <c r="Q43" i="2" s="1"/>
  <c r="M42" i="2"/>
  <c r="K42" i="2"/>
  <c r="I42" i="2"/>
  <c r="G42" i="2"/>
  <c r="E42" i="2"/>
  <c r="C42" i="2"/>
  <c r="AB42" i="2"/>
  <c r="Y42" i="2"/>
  <c r="V42" i="2"/>
  <c r="W42" i="2" s="1"/>
  <c r="P42" i="2"/>
  <c r="Q42" i="2" s="1"/>
  <c r="K41" i="2"/>
  <c r="I41" i="2"/>
  <c r="G41" i="2"/>
  <c r="E41" i="2"/>
  <c r="C41" i="2"/>
  <c r="M41" i="2"/>
  <c r="P41" i="2"/>
  <c r="Q41" i="2" s="1"/>
  <c r="V41" i="2"/>
  <c r="W41" i="2" s="1"/>
  <c r="Y41" i="2"/>
  <c r="AB41" i="2"/>
  <c r="AB40" i="2"/>
  <c r="Y40" i="2"/>
  <c r="V40" i="2"/>
  <c r="W40" i="2" s="1"/>
  <c r="P40" i="2"/>
  <c r="Q40" i="2" s="1"/>
  <c r="M40" i="2"/>
  <c r="K40" i="2"/>
  <c r="I40" i="2"/>
  <c r="G40" i="2"/>
  <c r="E40" i="2"/>
  <c r="C40" i="2"/>
  <c r="C39" i="2"/>
  <c r="E39" i="2"/>
  <c r="G39" i="2"/>
  <c r="I39" i="2"/>
  <c r="K39" i="2"/>
  <c r="M39" i="2"/>
  <c r="P39" i="2"/>
  <c r="Q39" i="2" s="1"/>
  <c r="V39" i="2"/>
  <c r="W39" i="2" s="1"/>
  <c r="AB39" i="2"/>
  <c r="Y39" i="2"/>
  <c r="AB38" i="2"/>
  <c r="C38" i="2"/>
  <c r="E38" i="2"/>
  <c r="G38" i="2"/>
  <c r="I38" i="2"/>
  <c r="K38" i="2"/>
  <c r="M38" i="2"/>
  <c r="P38" i="2"/>
  <c r="Q38" i="2" s="1"/>
  <c r="V38" i="2"/>
  <c r="W38" i="2" s="1"/>
  <c r="Y38" i="2"/>
  <c r="E37" i="2"/>
  <c r="C37" i="2"/>
  <c r="G37" i="2"/>
  <c r="I37" i="2"/>
  <c r="K37" i="2"/>
  <c r="M37" i="2"/>
  <c r="AB37" i="2"/>
  <c r="Y37" i="2"/>
  <c r="V37" i="2"/>
  <c r="W37" i="2" s="1"/>
  <c r="P37" i="2"/>
  <c r="Q37" i="2" s="1"/>
  <c r="N44" i="2" l="1"/>
  <c r="N37" i="2"/>
  <c r="N39" i="2"/>
  <c r="N41" i="2"/>
  <c r="N43" i="2"/>
  <c r="N38" i="2"/>
  <c r="N40" i="2"/>
  <c r="N42" i="2"/>
  <c r="N45" i="2"/>
  <c r="AD45" i="2"/>
  <c r="AD44" i="2"/>
  <c r="AD39" i="2"/>
  <c r="AD41" i="2"/>
  <c r="AD38" i="2"/>
  <c r="AD40" i="2"/>
  <c r="AD42" i="2"/>
  <c r="AD37" i="2"/>
  <c r="AD43" i="2"/>
  <c r="C36" i="2"/>
  <c r="E36" i="2"/>
  <c r="G36" i="2"/>
  <c r="I36" i="2"/>
  <c r="K36" i="2"/>
  <c r="M36" i="2"/>
  <c r="AB36" i="2"/>
  <c r="Y36" i="2"/>
  <c r="V36" i="2"/>
  <c r="W36" i="2" s="1"/>
  <c r="P36" i="2"/>
  <c r="Q36" i="2" s="1"/>
  <c r="N36" i="2" l="1"/>
  <c r="AD36" i="2"/>
  <c r="I22" i="2"/>
  <c r="I23" i="2"/>
  <c r="I25" i="2"/>
  <c r="I26" i="2"/>
  <c r="I27" i="2"/>
  <c r="I28" i="2"/>
  <c r="I29" i="2"/>
  <c r="I30" i="2"/>
  <c r="I31" i="2"/>
  <c r="I32" i="2"/>
  <c r="I33" i="2"/>
  <c r="I34" i="2"/>
  <c r="I35" i="2"/>
  <c r="I21" i="2"/>
  <c r="E22" i="2"/>
  <c r="E23" i="2"/>
  <c r="E25" i="2"/>
  <c r="E26" i="2"/>
  <c r="E27" i="2"/>
  <c r="E28" i="2"/>
  <c r="E29" i="2"/>
  <c r="E30" i="2"/>
  <c r="E31" i="2"/>
  <c r="E32" i="2"/>
  <c r="E33" i="2"/>
  <c r="E34" i="2"/>
  <c r="E35" i="2"/>
  <c r="E21" i="2"/>
  <c r="C22" i="2"/>
  <c r="C23" i="2"/>
  <c r="C25" i="2"/>
  <c r="C26" i="2"/>
  <c r="C27" i="2"/>
  <c r="C28" i="2"/>
  <c r="C29" i="2"/>
  <c r="C30" i="2"/>
  <c r="C31" i="2"/>
  <c r="C32" i="2"/>
  <c r="C33" i="2"/>
  <c r="C34" i="2"/>
  <c r="C35" i="2"/>
  <c r="C21" i="2"/>
  <c r="G22" i="2"/>
  <c r="G23" i="2"/>
  <c r="G25" i="2"/>
  <c r="N25" i="2" s="1"/>
  <c r="G26" i="2"/>
  <c r="G27" i="2"/>
  <c r="G28" i="2"/>
  <c r="G29" i="2"/>
  <c r="G30" i="2"/>
  <c r="G31" i="2"/>
  <c r="G32" i="2"/>
  <c r="G33" i="2"/>
  <c r="G34" i="2"/>
  <c r="G35" i="2"/>
  <c r="G21" i="2"/>
  <c r="K35" i="2"/>
  <c r="M35" i="2"/>
  <c r="AB35" i="2"/>
  <c r="AB34" i="2"/>
  <c r="Y35" i="2"/>
  <c r="V35" i="2"/>
  <c r="W35" i="2" s="1"/>
  <c r="P35" i="2"/>
  <c r="Q35" i="2" s="1"/>
  <c r="K34" i="2"/>
  <c r="M34" i="2"/>
  <c r="P34" i="2"/>
  <c r="Q34" i="2" s="1"/>
  <c r="V34" i="2"/>
  <c r="W34" i="2" s="1"/>
  <c r="Y34" i="2"/>
  <c r="M33" i="2"/>
  <c r="K33" i="2"/>
  <c r="P33" i="2"/>
  <c r="Q33" i="2" s="1"/>
  <c r="V33" i="2"/>
  <c r="W33" i="2" s="1"/>
  <c r="AB33" i="2"/>
  <c r="Y33" i="2"/>
  <c r="AB30" i="2"/>
  <c r="AB31" i="2"/>
  <c r="AB32" i="2"/>
  <c r="Y32" i="2"/>
  <c r="V32" i="2"/>
  <c r="W32" i="2" s="1"/>
  <c r="P32" i="2"/>
  <c r="Q32" i="2" s="1"/>
  <c r="M32" i="2"/>
  <c r="K32" i="2"/>
  <c r="Y31" i="2"/>
  <c r="V31" i="2"/>
  <c r="W31" i="2" s="1"/>
  <c r="P31" i="2"/>
  <c r="Q31" i="2" s="1"/>
  <c r="M31" i="2"/>
  <c r="K31" i="2"/>
  <c r="K30" i="2"/>
  <c r="M30" i="2"/>
  <c r="P30" i="2"/>
  <c r="Q30" i="2" s="1"/>
  <c r="V30" i="2"/>
  <c r="W30" i="2" s="1"/>
  <c r="Y30" i="2"/>
  <c r="AB29" i="2"/>
  <c r="Y29" i="2"/>
  <c r="M28" i="2"/>
  <c r="M29" i="2"/>
  <c r="K28" i="2"/>
  <c r="K29" i="2"/>
  <c r="V29" i="2"/>
  <c r="W29" i="2" s="1"/>
  <c r="P29" i="2"/>
  <c r="Q29" i="2" s="1"/>
  <c r="P28" i="2"/>
  <c r="Q28" i="2" s="1"/>
  <c r="AB28" i="2"/>
  <c r="Y28" i="2"/>
  <c r="V28" i="2"/>
  <c r="W28" i="2" s="1"/>
  <c r="K27" i="2"/>
  <c r="M27" i="2"/>
  <c r="AB26" i="2"/>
  <c r="AB27" i="2"/>
  <c r="Y27" i="2"/>
  <c r="V27" i="2"/>
  <c r="W27" i="2" s="1"/>
  <c r="P27" i="2"/>
  <c r="Q27" i="2" s="1"/>
  <c r="K26" i="2"/>
  <c r="M26" i="2"/>
  <c r="G5" i="2"/>
  <c r="S26" i="2"/>
  <c r="V26" i="2"/>
  <c r="W26" i="2" s="1"/>
  <c r="P26" i="2"/>
  <c r="Q26" i="2" s="1"/>
  <c r="Y26" i="2"/>
  <c r="S25" i="2"/>
  <c r="S56" i="2" s="1"/>
  <c r="P25" i="2"/>
  <c r="K25" i="2"/>
  <c r="AB25" i="2"/>
  <c r="V25" i="2"/>
  <c r="Y25" i="2"/>
  <c r="M23" i="2"/>
  <c r="M22" i="2"/>
  <c r="M21" i="2"/>
  <c r="K23" i="2"/>
  <c r="K22" i="2"/>
  <c r="K21" i="2"/>
  <c r="AB23" i="2"/>
  <c r="AB22" i="2"/>
  <c r="AB21" i="2"/>
  <c r="Y23" i="2"/>
  <c r="Y22" i="2"/>
  <c r="Y21" i="2"/>
  <c r="V23" i="2"/>
  <c r="W23" i="2" s="1"/>
  <c r="V22" i="2"/>
  <c r="W22" i="2" s="1"/>
  <c r="V21" i="2"/>
  <c r="W21" i="2" s="1"/>
  <c r="S23" i="2"/>
  <c r="S22" i="2"/>
  <c r="S21" i="2"/>
  <c r="P22" i="2"/>
  <c r="Q22" i="2" s="1"/>
  <c r="P23" i="2"/>
  <c r="Q23" i="2" s="1"/>
  <c r="P21" i="2"/>
  <c r="Q21" i="2" s="1"/>
  <c r="G4" i="2"/>
  <c r="D391" i="2"/>
  <c r="U390" i="2"/>
  <c r="U389" i="2"/>
  <c r="U388" i="2"/>
  <c r="B370" i="2"/>
  <c r="J370" i="2"/>
  <c r="U370" i="2"/>
  <c r="U387" i="2" s="1"/>
  <c r="X370" i="2"/>
  <c r="X382" i="2" s="1"/>
  <c r="AA370" i="2"/>
  <c r="O371" i="2"/>
  <c r="O387" i="2" s="1"/>
  <c r="D371" i="2"/>
  <c r="F371" i="2"/>
  <c r="H371" i="2"/>
  <c r="J371" i="2"/>
  <c r="L371" i="2"/>
  <c r="R371" i="2"/>
  <c r="X371" i="2"/>
  <c r="X383" i="2" s="1"/>
  <c r="AA371" i="2"/>
  <c r="B371" i="2"/>
  <c r="Z277" i="2" l="1"/>
  <c r="Z279" i="2"/>
  <c r="Z278" i="2"/>
  <c r="Z280" i="2"/>
  <c r="Z270" i="2"/>
  <c r="Z273" i="2"/>
  <c r="Z271" i="2"/>
  <c r="Z275" i="2"/>
  <c r="Z272" i="2"/>
  <c r="Z274" i="2"/>
  <c r="Z266" i="2"/>
  <c r="Z263" i="2"/>
  <c r="Z265" i="2"/>
  <c r="Z262" i="2"/>
  <c r="Z267" i="2"/>
  <c r="Z269" i="2"/>
  <c r="Z260" i="2"/>
  <c r="Z264" i="2"/>
  <c r="Z261" i="2"/>
  <c r="Z268" i="2"/>
  <c r="Z256" i="2"/>
  <c r="Z257" i="2"/>
  <c r="Z253" i="2"/>
  <c r="Z259" i="2"/>
  <c r="Z250" i="2"/>
  <c r="Z258" i="2"/>
  <c r="Z254" i="2"/>
  <c r="Z246" i="2"/>
  <c r="Z255" i="2"/>
  <c r="Z251" i="2"/>
  <c r="Z252" i="2"/>
  <c r="Z247" i="2"/>
  <c r="Z248" i="2"/>
  <c r="Z245" i="2"/>
  <c r="Z249" i="2"/>
  <c r="Z238" i="2"/>
  <c r="Z240" i="2"/>
  <c r="Z243" i="2"/>
  <c r="Z241" i="2"/>
  <c r="Z242" i="2"/>
  <c r="Z239" i="2"/>
  <c r="Z237" i="2"/>
  <c r="Z235" i="2"/>
  <c r="Z236" i="2"/>
  <c r="Z232" i="2"/>
  <c r="Z233" i="2"/>
  <c r="Z234" i="2"/>
  <c r="Z231" i="2"/>
  <c r="Z230" i="2"/>
  <c r="Z229" i="2"/>
  <c r="Z228" i="2"/>
  <c r="Z225" i="2"/>
  <c r="Z227" i="2"/>
  <c r="Z226" i="2"/>
  <c r="Z222" i="2"/>
  <c r="Z218" i="2"/>
  <c r="Z223" i="2"/>
  <c r="Z224" i="2"/>
  <c r="Z217" i="2"/>
  <c r="Z221" i="2"/>
  <c r="Z219" i="2"/>
  <c r="Z220" i="2"/>
  <c r="Z215" i="2"/>
  <c r="Z216" i="2"/>
  <c r="Z214" i="2"/>
  <c r="Z197" i="2"/>
  <c r="Z212" i="2"/>
  <c r="Z211" i="2"/>
  <c r="Z209" i="2"/>
  <c r="Z206" i="2"/>
  <c r="Z205" i="2"/>
  <c r="Z210" i="2"/>
  <c r="Z208" i="2"/>
  <c r="Z207" i="2"/>
  <c r="Z198" i="2"/>
  <c r="Z204" i="2"/>
  <c r="Z196" i="2"/>
  <c r="Z191" i="2"/>
  <c r="Z195" i="2"/>
  <c r="Z193" i="2"/>
  <c r="Z192" i="2"/>
  <c r="Z190" i="2"/>
  <c r="Z194" i="2"/>
  <c r="Z189" i="2"/>
  <c r="Z187" i="2"/>
  <c r="Z184" i="2"/>
  <c r="Z180" i="2"/>
  <c r="Z186" i="2"/>
  <c r="Z188" i="2"/>
  <c r="Z182" i="2"/>
  <c r="Z176" i="2"/>
  <c r="Z179" i="2"/>
  <c r="Z183" i="2"/>
  <c r="Z185" i="2"/>
  <c r="Z174" i="2"/>
  <c r="Z177" i="2"/>
  <c r="Z175" i="2"/>
  <c r="Z178" i="2"/>
  <c r="Z172" i="2"/>
  <c r="Z173" i="2"/>
  <c r="Z170" i="2"/>
  <c r="Z171" i="2"/>
  <c r="Z165" i="2"/>
  <c r="Z169" i="2"/>
  <c r="Z163" i="2"/>
  <c r="Z167" i="2"/>
  <c r="Z168" i="2"/>
  <c r="Z166" i="2"/>
  <c r="Z164" i="2"/>
  <c r="Z161" i="2"/>
  <c r="Z162" i="2"/>
  <c r="Z151" i="2"/>
  <c r="Z156" i="2"/>
  <c r="Z155" i="2"/>
  <c r="Z159" i="2"/>
  <c r="Z154" i="2"/>
  <c r="Z152" i="2"/>
  <c r="Z150" i="2"/>
  <c r="Z160" i="2"/>
  <c r="Z157" i="2"/>
  <c r="Z153" i="2"/>
  <c r="Z158" i="2"/>
  <c r="K56" i="2"/>
  <c r="Z147" i="2"/>
  <c r="Z148" i="2"/>
  <c r="Z146" i="2"/>
  <c r="Z144" i="2"/>
  <c r="Z145" i="2"/>
  <c r="Z141" i="2"/>
  <c r="Z142" i="2"/>
  <c r="Z143" i="2"/>
  <c r="Z140" i="2"/>
  <c r="Y56" i="2"/>
  <c r="W25" i="2"/>
  <c r="W56" i="2" s="1"/>
  <c r="V56" i="2"/>
  <c r="Z135" i="2"/>
  <c r="Z137" i="2"/>
  <c r="Z139" i="2"/>
  <c r="Z138" i="2"/>
  <c r="Z136" i="2"/>
  <c r="Z134" i="2"/>
  <c r="Z132" i="2"/>
  <c r="Z131" i="2"/>
  <c r="Z133" i="2"/>
  <c r="Z106" i="2"/>
  <c r="Z111" i="2"/>
  <c r="Z122" i="2"/>
  <c r="Z115" i="2"/>
  <c r="Z107" i="2"/>
  <c r="Z117" i="2"/>
  <c r="Z124" i="2"/>
  <c r="Z130" i="2"/>
  <c r="Z109" i="2"/>
  <c r="Z121" i="2"/>
  <c r="Z113" i="2"/>
  <c r="Z120" i="2"/>
  <c r="Z126" i="2"/>
  <c r="Z128" i="2"/>
  <c r="Z108" i="2"/>
  <c r="Z127" i="2"/>
  <c r="Z110" i="2"/>
  <c r="Z119" i="2"/>
  <c r="Z112" i="2"/>
  <c r="Z125" i="2"/>
  <c r="Z129" i="2"/>
  <c r="Z123" i="2"/>
  <c r="Z116" i="2"/>
  <c r="Z114" i="2"/>
  <c r="N34" i="2"/>
  <c r="N30" i="2"/>
  <c r="N26" i="2"/>
  <c r="N29" i="2"/>
  <c r="N21" i="2"/>
  <c r="N28" i="2"/>
  <c r="Z105" i="2"/>
  <c r="Z104" i="2"/>
  <c r="Z102" i="2"/>
  <c r="Z103" i="2"/>
  <c r="Z101" i="2"/>
  <c r="N33" i="2"/>
  <c r="N32" i="2"/>
  <c r="N23" i="2"/>
  <c r="N35" i="2"/>
  <c r="N31" i="2"/>
  <c r="N27" i="2"/>
  <c r="N22" i="2"/>
  <c r="Z100" i="2"/>
  <c r="Z99" i="2"/>
  <c r="Z98" i="2"/>
  <c r="Z96" i="2"/>
  <c r="Z97" i="2"/>
  <c r="Z94" i="2"/>
  <c r="Z92" i="2"/>
  <c r="Z91" i="2"/>
  <c r="Z93" i="2"/>
  <c r="Z95" i="2"/>
  <c r="Z90" i="2"/>
  <c r="Z88" i="2"/>
  <c r="Z89" i="2"/>
  <c r="AB56" i="2"/>
  <c r="M56" i="2"/>
  <c r="G56" i="2"/>
  <c r="E56" i="2"/>
  <c r="C56" i="2"/>
  <c r="I56" i="2"/>
  <c r="Z80" i="2"/>
  <c r="Z85" i="2"/>
  <c r="Z86" i="2"/>
  <c r="Z84" i="2"/>
  <c r="Z82" i="2"/>
  <c r="Z83" i="2"/>
  <c r="Z81" i="2"/>
  <c r="Z79" i="2"/>
  <c r="Z78" i="2"/>
  <c r="Z77" i="2"/>
  <c r="Z76" i="2"/>
  <c r="Z75" i="2"/>
  <c r="Z71" i="2"/>
  <c r="Z73" i="2"/>
  <c r="Z74" i="2"/>
  <c r="Z70" i="2"/>
  <c r="Z72" i="2"/>
  <c r="Z69" i="2"/>
  <c r="Z60" i="2"/>
  <c r="Z64" i="2"/>
  <c r="Z66" i="2"/>
  <c r="Z65" i="2"/>
  <c r="Z67" i="2"/>
  <c r="Z59" i="2"/>
  <c r="Z61" i="2"/>
  <c r="Z62" i="2"/>
  <c r="Z63" i="2"/>
  <c r="Z68" i="2"/>
  <c r="Z26" i="2"/>
  <c r="Z29" i="2"/>
  <c r="Z32" i="2"/>
  <c r="Z33" i="2"/>
  <c r="Z27" i="2"/>
  <c r="Z35" i="2"/>
  <c r="Q25" i="2"/>
  <c r="Q56" i="2" s="1"/>
  <c r="P56" i="2"/>
  <c r="Z30" i="2"/>
  <c r="Z34" i="2"/>
  <c r="Z58" i="2"/>
  <c r="Z54" i="2"/>
  <c r="Z55" i="2"/>
  <c r="Z57" i="2"/>
  <c r="Z28" i="2"/>
  <c r="Z31" i="2"/>
  <c r="Z36" i="2"/>
  <c r="Z53" i="2"/>
  <c r="Z52" i="2"/>
  <c r="Z51" i="2"/>
  <c r="Z49" i="2"/>
  <c r="Z50" i="2"/>
  <c r="Z44" i="2"/>
  <c r="Z46" i="2"/>
  <c r="Z48" i="2"/>
  <c r="Z47" i="2"/>
  <c r="Z45" i="2"/>
  <c r="Z40" i="2"/>
  <c r="Z41" i="2"/>
  <c r="Z42" i="2"/>
  <c r="Z43" i="2"/>
  <c r="AD33" i="2"/>
  <c r="AD29" i="2"/>
  <c r="AD25" i="2"/>
  <c r="AD35" i="2"/>
  <c r="AD31" i="2"/>
  <c r="AD27" i="2"/>
  <c r="AD32" i="2"/>
  <c r="AD28" i="2"/>
  <c r="AD23" i="2"/>
  <c r="AD34" i="2"/>
  <c r="AD30" i="2"/>
  <c r="AD26" i="2"/>
  <c r="Z37" i="2"/>
  <c r="Z38" i="2"/>
  <c r="Z39" i="2"/>
  <c r="AD22" i="2"/>
  <c r="Z25" i="2"/>
  <c r="Z21" i="2"/>
  <c r="Z22" i="2"/>
  <c r="Z23" i="2"/>
  <c r="Z244" i="2" l="1"/>
  <c r="Z276" i="2"/>
  <c r="Z213" i="2"/>
  <c r="Z181" i="2"/>
  <c r="Y87" i="2"/>
  <c r="Z149" i="2"/>
  <c r="Z118" i="2"/>
  <c r="N56" i="2"/>
  <c r="Z87" i="2"/>
  <c r="Z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8" authorId="0" shapeId="0" xr:uid="{2CACDAF5-6484-4D64-801B-0FEBBCC9C88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Kaltwasser DG
</t>
        </r>
      </text>
    </comment>
    <comment ref="J8" authorId="0" shapeId="0" xr:uid="{E8159705-24F2-4C76-AEF4-239947F56145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Kaltwasser EG
</t>
        </r>
      </text>
    </comment>
    <comment ref="L8" authorId="0" shapeId="0" xr:uid="{88CE0C8B-451D-4249-8F8B-89F700D64022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warmwasser EG
</t>
        </r>
      </text>
    </comment>
    <comment ref="N8" authorId="0" shapeId="0" xr:uid="{A49C5B64-34E9-46AA-8669-3D815A2CF8E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Achtung: Rundungsfehler möglich, besonders bei negativem Verbrauch</t>
        </r>
      </text>
    </comment>
    <comment ref="Y8" authorId="0" shapeId="0" xr:uid="{E63FACD0-BEA7-42C2-AE4A-6FBA051A2942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Tages-Durchschnitts-Temperaturen wirken sich erst am Folgetag auf den Verbrauch aus, da ich immer morgens ablese</t>
        </r>
      </text>
    </comment>
    <comment ref="AD8" authorId="0" shapeId="0" xr:uid="{D9897AA0-ACA2-472A-8C4C-145F123791AF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Rundungsfehler möglich !!!</t>
        </r>
      </text>
    </comment>
    <comment ref="A13" authorId="0" shapeId="0" xr:uid="{11D1ADE3-80E5-406E-831C-17B6D61DFAEB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Einzug Kathrin und Darko
</t>
        </r>
      </text>
    </comment>
    <comment ref="A16" authorId="0" shapeId="0" xr:uid="{B79F5BB8-EEBE-472E-8FB9-8BF1E8650D9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Stichtag unterjährige Abrechnung
</t>
        </r>
      </text>
    </comment>
    <comment ref="K16" authorId="0" shapeId="0" xr:uid="{19FA2B95-06D4-436A-9AA6-7ACDCAB09F3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Verbrauch Zeitraum 27.11.-31.12.</t>
        </r>
      </text>
    </comment>
    <comment ref="M16" authorId="0" shapeId="0" xr:uid="{F56F3E02-EB83-49E5-8356-AD15D2D1ABB6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Verbrauch 27.11.-31.12.
</t>
        </r>
      </text>
    </comment>
    <comment ref="Y16" authorId="0" shapeId="0" xr:uid="{2A4183E6-AC32-45DD-92B4-09DE6900DD2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durchschnitt auf 197 Tage (17.6.2021 - 31.12.2021)
</t>
        </r>
      </text>
    </comment>
    <comment ref="A18" authorId="0" shapeId="0" xr:uid="{DF499AE3-44C6-457D-B196-B79800FA6591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Stichtag unterjährige Abrechnung
</t>
        </r>
      </text>
    </comment>
    <comment ref="K18" authorId="0" shapeId="0" xr:uid="{BDD5965D-0C98-49EC-A138-09BB51752F12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Verbrauch Zeitraum 27.11.-31.12.</t>
        </r>
      </text>
    </comment>
    <comment ref="M18" authorId="0" shapeId="0" xr:uid="{C7F77D19-BF85-48A9-ACD9-8E2BDB645215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Verbrauch 27.11.-31.12.
</t>
        </r>
      </text>
    </comment>
    <comment ref="Y21" authorId="0" shapeId="0" xr:uid="{0D12BE61-2CB9-426A-B77F-7EF2E15A7B17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 Personen
</t>
        </r>
      </text>
    </comment>
    <comment ref="AB21" authorId="0" shapeId="0" xr:uid="{6488BE03-9A71-41D7-84F3-66A914CF4AA7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 Personen
</t>
        </r>
      </text>
    </comment>
    <comment ref="P22" authorId="0" shapeId="0" xr:uid="{97A7899A-4F49-4864-B679-65EFCA0DF1A5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volladen
</t>
        </r>
      </text>
    </comment>
    <comment ref="Y22" authorId="0" shapeId="0" xr:uid="{017F94D1-30AE-46CF-B1BD-6EAE9D976771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 Personen
</t>
        </r>
      </text>
    </comment>
    <comment ref="AB22" authorId="0" shapeId="0" xr:uid="{3886A038-04B6-41F4-ADCD-ABCB4BEB0DC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 Personen
</t>
        </r>
      </text>
    </comment>
    <comment ref="P23" authorId="0" shapeId="0" xr:uid="{2EC81F57-73D0-438B-A40F-4B4BA6B44E4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volladen
</t>
        </r>
      </text>
    </comment>
    <comment ref="Y23" authorId="0" shapeId="0" xr:uid="{9DBDB0D5-C5D1-4AEE-BA5D-F8FE0E526081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4 Personen, Mathilda und Anni weg</t>
        </r>
      </text>
    </comment>
    <comment ref="AB23" authorId="0" shapeId="0" xr:uid="{D575C47E-F4B2-4F78-B193-9974BFB40B9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4 Personen Anni und Mathilda weg
</t>
        </r>
      </text>
    </comment>
    <comment ref="L25" authorId="0" shapeId="0" xr:uid="{49BECBE8-C8A5-45A1-8FDB-C567147FBF21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gebadet</t>
        </r>
      </text>
    </comment>
    <comment ref="P25" authorId="0" shapeId="0" xr:uid="{9D0C8225-7DD6-445C-A960-7F4011A128A7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offline</t>
        </r>
      </text>
    </comment>
    <comment ref="Y25" authorId="0" shapeId="0" xr:uid="{C681426A-3724-47C3-83BB-1C2BD240516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abends gebadet
</t>
        </r>
      </text>
    </comment>
    <comment ref="P26" authorId="0" shapeId="0" xr:uid="{1F38E011-06B3-4B72-B9C0-68EA89EC784B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Herd und Backofen lange an
Volvo geladen
</t>
        </r>
      </text>
    </comment>
    <comment ref="P29" authorId="0" shapeId="0" xr:uid="{F0A11402-FDCC-4977-A1FF-223E90CAC274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nicht geladen
Gefriertruhe für 12 h aus
kein Herd, kein Backofen
</t>
        </r>
      </text>
    </comment>
    <comment ref="Y29" authorId="0" shapeId="0" xr:uid="{4BEF917F-6542-4CBA-9A4F-1C99F2E7630F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gebadet
</t>
        </r>
      </text>
    </comment>
    <comment ref="Y30" authorId="0" shapeId="0" xr:uid="{33714159-E386-4377-8915-A1DBE3B2DA7C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Heizungsausfall
</t>
        </r>
      </text>
    </comment>
    <comment ref="P32" authorId="0" shapeId="0" xr:uid="{87A6E3C3-E394-4295-9834-04F55340458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badezimmer heizkörper kürzer geschaltet; volvo voll
</t>
        </r>
      </text>
    </comment>
    <comment ref="P34" authorId="0" shapeId="0" xr:uid="{91B66EF8-6414-4512-A431-4FBDDEC5BDB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Handtuchtrockner reduziert; Fussbodenheizung aus seit 9.00 h</t>
        </r>
      </text>
    </comment>
    <comment ref="P37" authorId="0" shapeId="0" xr:uid="{3CFB08C1-E0FB-471B-95CD-7E8B08F32ABC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geladen mit 1,5 kW, gekocht mit Herd undd Backofen</t>
        </r>
      </text>
    </comment>
    <comment ref="AB37" authorId="0" shapeId="0" xr:uid="{B4C7CA33-593F-4844-AFA0-AD5A08B1EF1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Heizung gefüllt</t>
        </r>
      </text>
    </comment>
    <comment ref="P38" authorId="0" shapeId="0" xr:uid="{011ED7E5-4624-4065-BF84-038A6384300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Backofen
</t>
        </r>
      </text>
    </comment>
    <comment ref="P42" authorId="0" shapeId="0" xr:uid="{93F36B4C-29E5-468D-9453-CC41BED1DB3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Tanken
</t>
        </r>
      </text>
    </comment>
    <comment ref="P43" authorId="0" shapeId="0" xr:uid="{F0BC6199-0748-4406-AA47-8721493855B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komplett geladen
</t>
        </r>
      </text>
    </comment>
    <comment ref="P44" authorId="0" shapeId="0" xr:uid="{E3C3230F-03A7-4280-83D0-471955F24C1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geladen
</t>
        </r>
      </text>
    </comment>
    <comment ref="Y44" authorId="0" shapeId="0" xr:uid="{11C84C03-17B0-4604-9DA3-53D64B97389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Kathrin und Darko und Annika nicht da</t>
        </r>
      </text>
    </comment>
    <comment ref="P45" authorId="0" shapeId="0" xr:uid="{34E36DEF-C157-4FB3-959B-80E670FF88CF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Backofen und Herd
Volvo geladen
</t>
        </r>
      </text>
    </comment>
    <comment ref="Y48" authorId="0" shapeId="0" xr:uid="{2430C58C-7912-410A-8377-6A6570AF2C1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Wärmetauscher neu</t>
        </r>
      </text>
    </comment>
    <comment ref="X50" authorId="0" shapeId="0" xr:uid="{E6A48493-AAC5-4341-B71D-254DC1B45615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Anni und Mathilda nicht da
</t>
        </r>
      </text>
    </comment>
    <comment ref="P51" authorId="0" shapeId="0" xr:uid="{6E798925-5553-452A-A265-5412A8C79CE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komplett leer aufgeladen, Backofen für Kuchen und Fisch
</t>
        </r>
      </text>
    </comment>
    <comment ref="P52" authorId="0" shapeId="0" xr:uid="{2F34627B-7E2A-449B-B2D9-02295AC0186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Fussbodenheizung aus
Volvo 1-2 kWh geladen
</t>
        </r>
      </text>
    </comment>
    <comment ref="X52" authorId="0" shapeId="0" xr:uid="{E52FF1CB-A88E-47C5-A1B2-1143554D8F71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Vorlauftemperatur auf 60 Grad gesenkt
</t>
        </r>
      </text>
    </comment>
    <comment ref="P54" authorId="0" shapeId="0" xr:uid="{AD3502B3-A9F1-4922-808D-A6D0ECB9F40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geladen, Netzteile Keller gezogen
</t>
        </r>
      </text>
    </comment>
    <comment ref="P57" authorId="0" shapeId="0" xr:uid="{53D9EF68-F15A-4EB6-9710-F41C4828375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an Ladestation</t>
        </r>
      </text>
    </comment>
    <comment ref="M62" authorId="0" shapeId="0" xr:uid="{69E8398C-CE89-4921-8954-94AFA4E818F1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gebadet</t>
        </r>
      </text>
    </comment>
    <comment ref="P62" authorId="0" shapeId="0" xr:uid="{CACC5E68-8898-4490-9A18-46F2FC79D6A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2 mal vollgeladen, Backofen und Herd</t>
        </r>
      </text>
    </comment>
    <comment ref="P63" authorId="0" shapeId="0" xr:uid="{B6B2E419-83F5-4DAE-832F-87212C906F65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einmal voll geladen
</t>
        </r>
      </text>
    </comment>
    <comment ref="P67" authorId="0" shapeId="0" xr:uid="{AEA4F66A-4335-4502-AC9F-857AA0E67BF7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nichts gekocht, nur Mikrowelle; Volvo Batterie war voll
</t>
        </r>
      </text>
    </comment>
    <comment ref="Y67" authorId="0" shapeId="0" xr:uid="{83AF579A-28ED-4BC3-812D-86F1BC594AD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Veränderung Warmwasser von 4.00 - 22.00 auf 5.00 - 23.00</t>
        </r>
      </text>
    </comment>
    <comment ref="P68" authorId="0" shapeId="0" xr:uid="{A7986505-802C-4F30-A0E8-D246C7F0A1D7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Felix zu Besuch
</t>
        </r>
      </text>
    </comment>
    <comment ref="V71" authorId="0" shapeId="0" xr:uid="{31663AAB-D5B8-43D9-A032-7BD9E8E251A8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Alex und Familie zu Besuch</t>
        </r>
      </text>
    </comment>
    <comment ref="P72" authorId="0" shapeId="0" xr:uid="{4A9AA329-608D-4388-AF80-4A2974660C5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Ostern, kochen, backen</t>
        </r>
      </text>
    </comment>
    <comment ref="P73" authorId="0" shapeId="0" xr:uid="{5C071169-F789-4F0B-9AF9-A37D9A069CE2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Ostern, kochen, backen</t>
        </r>
      </text>
    </comment>
    <comment ref="P74" authorId="0" shapeId="0" xr:uid="{7908E69F-9C17-44F5-8791-094AF5690A04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Gaby, Felix und ich
Alex und Emilie wieder weg
</t>
        </r>
      </text>
    </comment>
    <comment ref="P75" authorId="0" shapeId="0" xr:uid="{E23538B9-3B79-4F25-89E2-F7420DDCB306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komplett geladen</t>
        </r>
      </text>
    </comment>
    <comment ref="V75" authorId="0" shapeId="0" xr:uid="{68334B7E-7E0C-4596-80A0-06497D5AB7D5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Alex und Familie Abfahrt
</t>
        </r>
      </text>
    </comment>
    <comment ref="AF75" authorId="0" shapeId="0" xr:uid="{FF8EFA16-0EE5-4430-B638-05D0D6537FD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Rasen ausgesät
Beginn Rasen Bewässerung
</t>
        </r>
      </text>
    </comment>
    <comment ref="P76" authorId="0" shapeId="0" xr:uid="{88283BF1-1F87-40D3-BDCB-F7769258D3F6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Gaby und ich wieder allein</t>
        </r>
      </text>
    </comment>
    <comment ref="P80" authorId="0" shapeId="0" xr:uid="{42AA6B57-2D76-433E-BDF2-3893176B377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 Mal Waschmaschine
Volvo komplett geladen
gekocht und Backofen
</t>
        </r>
      </text>
    </comment>
    <comment ref="P81" authorId="0" shapeId="0" xr:uid="{BDE2E9A6-1290-4FB4-9DD6-51744EB95FD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Volvo geladen, Brot gebacken
</t>
        </r>
      </text>
    </comment>
    <comment ref="A92" authorId="0" shapeId="0" xr:uid="{DA3D2C82-548D-4A86-AB98-AF86AAD5187B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Kathrin und Darko abends in Urlaub</t>
        </r>
      </text>
    </comment>
    <comment ref="A93" authorId="0" shapeId="0" xr:uid="{3224D959-3F50-495C-B5D0-DFDD19E18DC2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bis hier vortags Verbräuche 1.OG incl.</t>
        </r>
      </text>
    </comment>
    <comment ref="X93" authorId="0" shapeId="0" xr:uid="{C78F577C-C964-47C4-A64B-78C2B4DECBEF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Kathrin und Darko verreist
</t>
        </r>
      </text>
    </comment>
    <comment ref="A94" authorId="0" shapeId="0" xr:uid="{1C26F315-7A84-4CEE-9E3D-DDE8296603E8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ab hier keine Verbräuche im 1.OG</t>
        </r>
      </text>
    </comment>
    <comment ref="P100" authorId="0" shapeId="0" xr:uid="{596FA0A6-A219-4FE9-88B7-36EA2946D728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2 Mal Volvo komplett vollgeladen
</t>
        </r>
      </text>
    </comment>
    <comment ref="A105" authorId="0" shapeId="0" xr:uid="{702737EE-B9C5-4EC0-8CC2-714EC750B683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abends Abfahrt Rolf und Gaby</t>
        </r>
      </text>
    </comment>
    <comment ref="A106" authorId="0" shapeId="0" xr:uid="{D591CAE9-11C5-45F5-9B38-1CCBEE7F8E9B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Rolf und Gaby in Urlaub
Ab hier kein Verbrauch EG
</t>
        </r>
      </text>
    </comment>
    <comment ref="A107" authorId="0" shapeId="0" xr:uid="{09DADE55-E8CB-4FC8-8AFA-746D5D6CCCA9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Kathrin und Darko wieder zurück
</t>
        </r>
      </text>
    </comment>
    <comment ref="A108" authorId="0" shapeId="0" xr:uid="{54F1D7F8-742E-4516-B8FD-E6AA95AF872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ab hier wieder 
voller Verbrauch 1.OG</t>
        </r>
      </text>
    </comment>
    <comment ref="A199" authorId="0" shapeId="0" xr:uid="{4F143BFA-A892-49C3-8870-082721BD3199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Gaby und Rolf von Mi - So Urlaub
</t>
        </r>
      </text>
    </comment>
    <comment ref="V199" authorId="0" shapeId="0" xr:uid="{B52676B4-09E9-4D2C-9CE1-8B8CF8CF554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Leer Stromverbrauch durch Standby Geräte</t>
        </r>
      </text>
    </comment>
    <comment ref="V217" authorId="0" shapeId="0" xr:uid="{8189CF6C-8AFB-49C1-BEC4-6C68CD484BD8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Mathilda temporär raus, nur 1 Pers. Im DG
</t>
        </r>
      </text>
    </comment>
    <comment ref="N218" authorId="0" shapeId="0" xr:uid="{F06934E4-CB0D-462D-A073-A9D3FE4476F9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Kati und Darko in Urlaub</t>
        </r>
      </text>
    </comment>
    <comment ref="Y218" authorId="0" shapeId="0" xr:uid="{B49F7209-B4EE-483D-8C7E-1C436B09E7A6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Gasverbrauch nur für 2 Personen</t>
        </r>
      </text>
    </comment>
    <comment ref="A228" authorId="0" shapeId="0" xr:uid="{AF30FBB4-2207-41AC-9DFB-1E38926D320C}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Felix Ankunft bis 19.09.22
</t>
        </r>
      </text>
    </comment>
    <comment ref="A232" authorId="0" shapeId="0" xr:uid="{83277653-3522-4C2B-B3C0-57825BCD19FF}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Felix wieder abgefahren
</t>
        </r>
      </text>
    </comment>
    <comment ref="A252" authorId="0" shapeId="0" xr:uid="{15D2F310-C239-4CF3-B80D-DA02475C1B99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Urlaub Rolf und Gaby; Mittelwerte
</t>
        </r>
      </text>
    </comment>
    <comment ref="A382" authorId="0" shapeId="0" xr:uid="{552FED94-789F-484E-A0FE-96767F94415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ab 1.3.2022
8,82 Cent / kWh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89758736-A0EF-4F6B-AFDF-3E42D0AE1CB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Kaltwasser DG
</t>
        </r>
      </text>
    </comment>
    <comment ref="J2" authorId="0" shapeId="0" xr:uid="{EABABC9A-70EB-4173-AD47-DE28E2A4C674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Kaltwasser EG
</t>
        </r>
      </text>
    </comment>
    <comment ref="L2" authorId="0" shapeId="0" xr:uid="{F4C104EE-B64E-45ED-B464-6E896100F958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warmwasser EG
</t>
        </r>
      </text>
    </comment>
    <comment ref="N2" authorId="0" shapeId="0" xr:uid="{8452A5BF-F129-49BF-913B-4892EE52B847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Achtung: Rundungsfehler möglich, besonders bei negativem Verbrauch</t>
        </r>
      </text>
    </comment>
    <comment ref="Y2" authorId="0" shapeId="0" xr:uid="{18F7FA09-BABB-43C4-BD60-AEC012C27741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Tages-Durchschnitts-Temperaturen wirken sich erst am Folgetag auf den Verbrauch aus, da ich immer morgens ablese</t>
        </r>
      </text>
    </comment>
    <comment ref="AD2" authorId="0" shapeId="0" xr:uid="{1788B579-9E04-4B4A-BF44-72C50F52D0B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Rundungsfehler möglich !!!</t>
        </r>
      </text>
    </comment>
  </commentList>
</comments>
</file>

<file path=xl/sharedStrings.xml><?xml version="1.0" encoding="utf-8"?>
<sst xmlns="http://schemas.openxmlformats.org/spreadsheetml/2006/main" count="563" uniqueCount="144">
  <si>
    <t>Zähler 1</t>
  </si>
  <si>
    <t>Zähler 2</t>
  </si>
  <si>
    <t>Zähler 3</t>
  </si>
  <si>
    <t>Zähler 4</t>
  </si>
  <si>
    <t>Zähler 5</t>
  </si>
  <si>
    <t>Entnahmestelle</t>
  </si>
  <si>
    <t>EG, Gäste WC kalt Wasser</t>
  </si>
  <si>
    <t>EG, Gäste WC warm Wasser</t>
  </si>
  <si>
    <t>EG, Bad Waschbecken, kalt Wasser</t>
  </si>
  <si>
    <t>EG, Bad Waschbecken, warm Wasser</t>
  </si>
  <si>
    <t>EG, Bad, Badewanne kalt Wasser</t>
  </si>
  <si>
    <t>EG, Bad, Bidet kalt Wasser</t>
  </si>
  <si>
    <t>EG, Bad, Bidet warm Wasser</t>
  </si>
  <si>
    <t>EG, Bad, Badewanne warm Wasser</t>
  </si>
  <si>
    <t>EG, Bad, Waschbecken, kalt Wasser</t>
  </si>
  <si>
    <t>EG, Bad, Waschbecken, warm Wasser</t>
  </si>
  <si>
    <t>EG, Küche, Spüle kalt Wasser</t>
  </si>
  <si>
    <t>EG, Küche, Spüle warm Wasser</t>
  </si>
  <si>
    <t>EG, Küche, Geschirrspüler</t>
  </si>
  <si>
    <t>EG, Bad, WC</t>
  </si>
  <si>
    <t>1.OG, WC, Waschbecken, kalt Wasser</t>
  </si>
  <si>
    <t>1.OG, WC, Waschbecken, warm Wasser</t>
  </si>
  <si>
    <t>1.OG, WC, WC</t>
  </si>
  <si>
    <t>EG, Gäste WC, WC</t>
  </si>
  <si>
    <t>EG, Bad, Dusche kalt Wasser</t>
  </si>
  <si>
    <t>EG, Bad, Dusche, warm Wasser</t>
  </si>
  <si>
    <t>1.OG Bad, Dusche, kalt Wasser</t>
  </si>
  <si>
    <t>1.OG, Bad, Dusche, warm Wasser</t>
  </si>
  <si>
    <t>1.OG, Bad, Bidet, kalt Wasser</t>
  </si>
  <si>
    <t>1.OG, Bad, Bidet, warm Wasser</t>
  </si>
  <si>
    <t>1.OG, Bad, Badewanne, kalt Wasser</t>
  </si>
  <si>
    <t>1.OG, Bad, Badewanne, warm Wasser</t>
  </si>
  <si>
    <t>1.OG, Bad, Waschbecken links, kalt Wasser</t>
  </si>
  <si>
    <t>1.OG, Bad, Waschbecken links, warm Wasser</t>
  </si>
  <si>
    <t>1.OG, Bad, Waschbecken rechts, kalt Wasser</t>
  </si>
  <si>
    <t>1.OG, Bad, Waschbecken rechts, warm Wasser</t>
  </si>
  <si>
    <t>1.OG, Küche, Spüle, kalt Wasser</t>
  </si>
  <si>
    <t>1.OG, Küche, Spüle, warm Wasser</t>
  </si>
  <si>
    <t>1.OG, Küche, Geschirrspüler</t>
  </si>
  <si>
    <t>DG, Bad, Dusche, kalt Wasser</t>
  </si>
  <si>
    <t>DG, Bad, Dusche, warm Wasser</t>
  </si>
  <si>
    <t>DG, Bad, Waschbecken, kalt Wasser</t>
  </si>
  <si>
    <t>DG, Bad, Waschbecken, warm Wasser</t>
  </si>
  <si>
    <t>DG, Bad, Toilette</t>
  </si>
  <si>
    <t>DG, Küche, Waschbecken, warm Wasser</t>
  </si>
  <si>
    <t>DG, Küche, Geschirrspüler</t>
  </si>
  <si>
    <t>DG, Küche, Waschbecken, kalt Wasser</t>
  </si>
  <si>
    <t>X</t>
  </si>
  <si>
    <t>Zählerstand: 5.09.2021</t>
  </si>
  <si>
    <t xml:space="preserve">Zähler </t>
  </si>
  <si>
    <t>Keller, Waschmaschine DG</t>
  </si>
  <si>
    <t>Keller, Waschmaschine EG</t>
  </si>
  <si>
    <t>Durchlauferh.</t>
  </si>
  <si>
    <t>UT-Speicher</t>
  </si>
  <si>
    <t>Strom EG</t>
  </si>
  <si>
    <t>Strom 1.OG</t>
  </si>
  <si>
    <t>Strom DG</t>
  </si>
  <si>
    <t>Gas</t>
  </si>
  <si>
    <t>Wasser</t>
  </si>
  <si>
    <t>Garten</t>
  </si>
  <si>
    <t>durchschn.Verbräuche/ Monat</t>
  </si>
  <si>
    <t>über 3 Monate</t>
  </si>
  <si>
    <t>über 1 Monat</t>
  </si>
  <si>
    <t xml:space="preserve"> </t>
  </si>
  <si>
    <t>Kosten pro Monat</t>
  </si>
  <si>
    <t>Strom  0,2897/kWh und grundpreis 116,77</t>
  </si>
  <si>
    <t>Gas 677 m³ entsp 7510 kWh a 4,94 Cent/kWh</t>
  </si>
  <si>
    <t>Gas bis 28.2.</t>
  </si>
  <si>
    <t>je KwH</t>
  </si>
  <si>
    <t>Kosten
zum Vortag</t>
  </si>
  <si>
    <t>Verbrauch
zum Vortag</t>
  </si>
  <si>
    <t>Temp.
Durch-
schnittl.</t>
  </si>
  <si>
    <t>Garten-
verbrauch</t>
  </si>
  <si>
    <t>Umrech-nung
m³ in kWh</t>
  </si>
  <si>
    <t>über 4 Monate</t>
  </si>
  <si>
    <t>über 5 Monate</t>
  </si>
  <si>
    <t>Zwischenabrechnung</t>
  </si>
  <si>
    <t>Wasser für Wasch-maschinen
als Diffferenz Wasser
Verbrauchs
Check Summe Einzelzähler</t>
  </si>
  <si>
    <t>für Warmwasser EG</t>
  </si>
  <si>
    <t>für Warmwasser 1.OG</t>
  </si>
  <si>
    <t>Heizung EG</t>
  </si>
  <si>
    <t>Heizung 1.OG</t>
  </si>
  <si>
    <t>Heizung 2.OG</t>
  </si>
  <si>
    <t>Heizungen Haus</t>
  </si>
  <si>
    <t>Kaltwasserzählerstand 
aus Stadtwerke Rechnung</t>
  </si>
  <si>
    <t>Keller, Waschküche, Wasserbecken</t>
  </si>
  <si>
    <t>Keller, Waschmaschine 1.OG</t>
  </si>
  <si>
    <t>Zähler 6
warm nur EG</t>
  </si>
  <si>
    <t>Warmwasser-verbrauch 1.OG als Differenz Z3 - Z6 + Z4</t>
  </si>
  <si>
    <r>
      <rPr>
        <b/>
        <sz val="11"/>
        <color theme="1"/>
        <rFont val="Calibri"/>
        <family val="2"/>
        <scheme val="minor"/>
      </rPr>
      <t>Zähler 1</t>
    </r>
    <r>
      <rPr>
        <sz val="9"/>
        <color theme="1"/>
        <rFont val="Calibri"/>
        <family val="2"/>
        <scheme val="minor"/>
      </rPr>
      <t xml:space="preserve">
kalt-Wasser-zähler Abrechnung pro Kopf</t>
    </r>
  </si>
  <si>
    <r>
      <rPr>
        <b/>
        <sz val="11"/>
        <color theme="1"/>
        <rFont val="Calibri"/>
        <family val="2"/>
        <scheme val="minor"/>
      </rPr>
      <t>Zähler 2</t>
    </r>
    <r>
      <rPr>
        <sz val="9"/>
        <color theme="1"/>
        <rFont val="Calibri"/>
        <family val="2"/>
        <scheme val="minor"/>
      </rPr>
      <t xml:space="preserve">
kalt-Wasser-zähler Abrechnung pro Kopf</t>
    </r>
  </si>
  <si>
    <r>
      <rPr>
        <b/>
        <sz val="11"/>
        <color theme="1"/>
        <rFont val="Calibri"/>
        <family val="2"/>
        <scheme val="minor"/>
      </rPr>
      <t>Zähler 5</t>
    </r>
    <r>
      <rPr>
        <sz val="9"/>
        <color theme="1"/>
        <rFont val="Calibri"/>
        <family val="2"/>
        <scheme val="minor"/>
      </rPr>
      <t xml:space="preserve">
kalt-Wasser-zähler Abrechnung pro Kopf</t>
    </r>
  </si>
  <si>
    <r>
      <rPr>
        <b/>
        <sz val="11"/>
        <color theme="1"/>
        <rFont val="Calibri"/>
        <family val="2"/>
        <scheme val="minor"/>
      </rPr>
      <t>Zähler 3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warm Wasser EG und 1.OG</t>
    </r>
  </si>
  <si>
    <r>
      <rPr>
        <b/>
        <sz val="11"/>
        <color theme="1"/>
        <rFont val="Calibri"/>
        <family val="2"/>
        <scheme val="minor"/>
      </rPr>
      <t>Zähler 6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warm Wasser nur EG</t>
    </r>
  </si>
  <si>
    <r>
      <rPr>
        <b/>
        <sz val="11"/>
        <color theme="1"/>
        <rFont val="Calibri"/>
        <family val="2"/>
        <scheme val="minor"/>
      </rPr>
      <t>Zähler 4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Doppel-messung mit Z 3 , wird nicht berück-sichtigt</t>
    </r>
  </si>
  <si>
    <r>
      <rPr>
        <b/>
        <sz val="11"/>
        <color theme="1"/>
        <rFont val="Calibri"/>
        <family val="2"/>
        <scheme val="minor"/>
      </rPr>
      <t>Zähler 3
EG und 1.OG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warm Wasser gesamt</t>
    </r>
  </si>
  <si>
    <r>
      <rPr>
        <b/>
        <sz val="11"/>
        <color theme="1"/>
        <rFont val="Calibri"/>
        <family val="2"/>
        <scheme val="minor"/>
      </rPr>
      <t>Zähler 4
1.OG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Küche Warm-Wasser; Doppel-messung mit Z3, wird nicht berück-sichtigt</t>
    </r>
  </si>
  <si>
    <t>Zähler 6
EG Warmwasser</t>
  </si>
  <si>
    <t>Mittel wg.Url.</t>
  </si>
  <si>
    <t>Monatsabrechnung</t>
  </si>
  <si>
    <t>Zwischenabrechnung März</t>
  </si>
  <si>
    <t>Zwischenabrechnung April</t>
  </si>
  <si>
    <t>Zwischenabrechnung Mai</t>
  </si>
  <si>
    <r>
      <rPr>
        <b/>
        <sz val="11"/>
        <color theme="1"/>
        <rFont val="Calibri"/>
        <family val="2"/>
        <scheme val="minor"/>
      </rPr>
      <t>Zähler 1
Dachgeschoss</t>
    </r>
    <r>
      <rPr>
        <sz val="9"/>
        <color theme="1"/>
        <rFont val="Calibri"/>
        <family val="2"/>
        <scheme val="minor"/>
      </rPr>
      <t xml:space="preserve">
kalt-Wasser-zähler </t>
    </r>
  </si>
  <si>
    <r>
      <rPr>
        <b/>
        <sz val="11"/>
        <color theme="1"/>
        <rFont val="Calibri"/>
        <family val="2"/>
        <scheme val="minor"/>
      </rPr>
      <t>Zähler 2
1.OG Küche</t>
    </r>
    <r>
      <rPr>
        <sz val="9"/>
        <color theme="1"/>
        <rFont val="Calibri"/>
        <family val="2"/>
        <scheme val="minor"/>
      </rPr>
      <t xml:space="preserve">
kalt-Wasser-zähler</t>
    </r>
  </si>
  <si>
    <t>Zähler 5
EG Kaltwasser</t>
  </si>
  <si>
    <t>Verbrauch
im Monat</t>
  </si>
  <si>
    <t>Kosten
im Monat</t>
  </si>
  <si>
    <r>
      <rPr>
        <b/>
        <sz val="11"/>
        <color theme="1"/>
        <rFont val="Calibri"/>
        <family val="2"/>
        <scheme val="minor"/>
      </rPr>
      <t>Verbrauch
Zähler 1
Dachgeschoss</t>
    </r>
    <r>
      <rPr>
        <sz val="9"/>
        <color theme="1"/>
        <rFont val="Calibri"/>
        <family val="2"/>
        <scheme val="minor"/>
      </rPr>
      <t xml:space="preserve">
kalt-Wasser-zähler Abrechnung pro Kopf</t>
    </r>
  </si>
  <si>
    <r>
      <rPr>
        <b/>
        <sz val="11"/>
        <color theme="1"/>
        <rFont val="Calibri"/>
        <family val="2"/>
        <scheme val="minor"/>
      </rPr>
      <t>Verbrauch
Zähler 2
1.OG Küche</t>
    </r>
    <r>
      <rPr>
        <sz val="9"/>
        <color theme="1"/>
        <rFont val="Calibri"/>
        <family val="2"/>
        <scheme val="minor"/>
      </rPr>
      <t xml:space="preserve">
kalt-Wasser-zähler Abrechnung pro Kopf</t>
    </r>
  </si>
  <si>
    <r>
      <rPr>
        <b/>
        <sz val="11"/>
        <color theme="1"/>
        <rFont val="Calibri"/>
        <family val="2"/>
        <scheme val="minor"/>
      </rPr>
      <t>Verbrauch
Zähler 3
EG und 1.OG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warm Wasser gesamt</t>
    </r>
  </si>
  <si>
    <r>
      <rPr>
        <b/>
        <sz val="11"/>
        <color theme="1"/>
        <rFont val="Calibri"/>
        <family val="2"/>
        <scheme val="minor"/>
      </rPr>
      <t>Verbrauch
Zähler 4
1.OG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Küche Warm-Wasser; Doppel-messung mit Z3, wird nicht berück-sichtigt</t>
    </r>
  </si>
  <si>
    <r>
      <rPr>
        <b/>
        <sz val="11"/>
        <color theme="1"/>
        <rFont val="Calibri"/>
        <family val="2"/>
        <scheme val="minor"/>
      </rPr>
      <t>Verbrauch
Zähler 5
EG Kaltwasser</t>
    </r>
    <r>
      <rPr>
        <sz val="9"/>
        <color theme="1"/>
        <rFont val="Calibri"/>
        <family val="2"/>
        <scheme val="minor"/>
      </rPr>
      <t xml:space="preserve">
Abrechnung pro Kopf</t>
    </r>
  </si>
  <si>
    <t>Verbrauch
Zähler 6
EG Warmwasser</t>
  </si>
  <si>
    <t xml:space="preserve">Verbrauch
Warmwasser 1.OG als Differenz Z3 - Z6 </t>
  </si>
  <si>
    <t>Zwischenabrechnung Juni</t>
  </si>
  <si>
    <t>Zwischenabrechnung Juli</t>
  </si>
  <si>
    <t>Zwischenabrechnung August</t>
  </si>
  <si>
    <t>November</t>
  </si>
  <si>
    <t>Dezember</t>
  </si>
  <si>
    <t>Abschlag Qcells</t>
  </si>
  <si>
    <t>Abschlag Stadtwerke</t>
  </si>
  <si>
    <t>Abschlag Gas</t>
  </si>
  <si>
    <t>Gasumlage</t>
  </si>
  <si>
    <t>Grundgebühr</t>
  </si>
  <si>
    <t>Abschlag EWE 2.OG</t>
  </si>
  <si>
    <t>Grundgebühr Gas
monatlich 21,90</t>
  </si>
  <si>
    <t>Gas ab 1.10.22</t>
  </si>
  <si>
    <t>Gas ab 1.3.22</t>
  </si>
  <si>
    <t>Verbrauch
zum Vortag
in m³</t>
  </si>
  <si>
    <t>Preissteigerung ab 1.10.2022 auf 0,12 €/kWh entspricht 36 % Kostenzuwachs zu den Vormonaten incl. Grundgebühr</t>
  </si>
  <si>
    <t xml:space="preserve">monatl. Vorauszahlung
Gas 432,- </t>
  </si>
  <si>
    <t>Berücksichtigt</t>
  </si>
  <si>
    <t>Voraus-
zahlung 1.OG</t>
  </si>
  <si>
    <t>Kostensteigerungsrate</t>
  </si>
  <si>
    <t>Erhöhung um 78,5 % bis Oktober; dann weitere 36 %</t>
  </si>
  <si>
    <t>Voraus-
zahlung DG
Mathilda</t>
  </si>
  <si>
    <t>Voraus-
zahlung DG
Annika</t>
  </si>
  <si>
    <t>rückw.Preisänderung auf 0,0882 €/kWh ab 1.3.2022</t>
  </si>
  <si>
    <t>neue Preisänderung auf 0,1177 €/kWh ab 1.10.2022</t>
  </si>
  <si>
    <t>reine Gasvoraus-
zahlung ohne Grundpreis</t>
  </si>
  <si>
    <t>Zwischenabrechnung September</t>
  </si>
  <si>
    <t>Zwischenabrechnung Oktober</t>
  </si>
  <si>
    <t>wieviel Gas bekommen wir für die Vorauszahlung zu den gültigen Preisen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</si>
</sst>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E324F"/>
      <name val="VattenfallHall-Light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14" fontId="1" fillId="0" borderId="1" xfId="0" applyNumberFormat="1" applyFont="1" applyBorder="1"/>
    <xf numFmtId="0" fontId="0" fillId="0" borderId="1" xfId="0" applyFill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4" fontId="0" fillId="0" borderId="1" xfId="0" applyNumberFormat="1" applyBorder="1"/>
    <xf numFmtId="165" fontId="0" fillId="0" borderId="0" xfId="0" applyNumberFormat="1"/>
    <xf numFmtId="165" fontId="0" fillId="0" borderId="1" xfId="0" applyNumberForma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right"/>
    </xf>
    <xf numFmtId="165" fontId="0" fillId="3" borderId="1" xfId="0" applyNumberFormat="1" applyFill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/>
    <xf numFmtId="0" fontId="0" fillId="0" borderId="2" xfId="0" applyFill="1" applyBorder="1"/>
    <xf numFmtId="0" fontId="5" fillId="0" borderId="0" xfId="1"/>
    <xf numFmtId="14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/>
    <xf numFmtId="4" fontId="0" fillId="2" borderId="0" xfId="0" applyNumberFormat="1" applyFill="1" applyBorder="1"/>
    <xf numFmtId="14" fontId="0" fillId="4" borderId="1" xfId="0" applyNumberFormat="1" applyFill="1" applyBorder="1"/>
    <xf numFmtId="0" fontId="0" fillId="0" borderId="0" xfId="0" applyBorder="1"/>
    <xf numFmtId="165" fontId="0" fillId="0" borderId="0" xfId="0" applyNumberFormat="1" applyBorder="1"/>
    <xf numFmtId="0" fontId="0" fillId="2" borderId="3" xfId="0" applyFill="1" applyBorder="1"/>
    <xf numFmtId="0" fontId="0" fillId="2" borderId="4" xfId="0" applyFill="1" applyBorder="1"/>
    <xf numFmtId="4" fontId="0" fillId="2" borderId="4" xfId="0" applyNumberFormat="1" applyFill="1" applyBorder="1"/>
    <xf numFmtId="165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0" fillId="2" borderId="7" xfId="0" applyFill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0" fontId="0" fillId="2" borderId="8" xfId="0" applyFill="1" applyBorder="1"/>
    <xf numFmtId="164" fontId="0" fillId="2" borderId="9" xfId="0" applyNumberFormat="1" applyFill="1" applyBorder="1"/>
    <xf numFmtId="4" fontId="0" fillId="2" borderId="9" xfId="0" applyNumberFormat="1" applyFill="1" applyBorder="1"/>
    <xf numFmtId="165" fontId="0" fillId="2" borderId="9" xfId="0" applyNumberFormat="1" applyFill="1" applyBorder="1"/>
    <xf numFmtId="164" fontId="0" fillId="2" borderId="1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165" fontId="0" fillId="0" borderId="0" xfId="0" applyNumberFormat="1" applyFill="1" applyBorder="1"/>
    <xf numFmtId="4" fontId="0" fillId="0" borderId="0" xfId="0" applyNumberFormat="1" applyFill="1"/>
    <xf numFmtId="0" fontId="0" fillId="0" borderId="0" xfId="0" applyFill="1"/>
    <xf numFmtId="165" fontId="0" fillId="2" borderId="1" xfId="0" applyNumberFormat="1" applyFill="1" applyBorder="1"/>
    <xf numFmtId="14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/>
    <xf numFmtId="2" fontId="0" fillId="0" borderId="1" xfId="0" applyNumberFormat="1" applyBorder="1"/>
    <xf numFmtId="3" fontId="0" fillId="3" borderId="1" xfId="0" applyNumberFormat="1" applyFill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/>
    <xf numFmtId="0" fontId="0" fillId="0" borderId="0" xfId="0" applyFill="1" applyAlignment="1">
      <alignment horizontal="center"/>
    </xf>
    <xf numFmtId="0" fontId="1" fillId="0" borderId="11" xfId="0" applyFont="1" applyBorder="1"/>
    <xf numFmtId="0" fontId="0" fillId="0" borderId="14" xfId="0" applyBorder="1"/>
    <xf numFmtId="0" fontId="1" fillId="0" borderId="14" xfId="0" applyFont="1" applyBorder="1"/>
    <xf numFmtId="0" fontId="0" fillId="0" borderId="16" xfId="0" applyBorder="1"/>
    <xf numFmtId="0" fontId="0" fillId="0" borderId="15" xfId="0" applyFill="1" applyBorder="1" applyAlignment="1">
      <alignment horizontal="center"/>
    </xf>
    <xf numFmtId="0" fontId="1" fillId="0" borderId="0" xfId="0" applyFont="1" applyFill="1"/>
    <xf numFmtId="0" fontId="0" fillId="0" borderId="1" xfId="0" quotePrefix="1" applyFill="1" applyBorder="1" applyAlignment="1">
      <alignment horizontal="center"/>
    </xf>
    <xf numFmtId="0" fontId="0" fillId="0" borderId="15" xfId="0" quotePrefix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5" xfId="0" applyFill="1" applyBorder="1" applyAlignment="1"/>
    <xf numFmtId="0" fontId="1" fillId="0" borderId="1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0" fillId="5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14" fontId="0" fillId="7" borderId="1" xfId="0" applyNumberFormat="1" applyFill="1" applyBorder="1"/>
    <xf numFmtId="2" fontId="0" fillId="7" borderId="1" xfId="0" applyNumberFormat="1" applyFill="1" applyBorder="1"/>
    <xf numFmtId="4" fontId="0" fillId="7" borderId="1" xfId="0" applyNumberFormat="1" applyFill="1" applyBorder="1"/>
    <xf numFmtId="0" fontId="0" fillId="7" borderId="1" xfId="0" applyFill="1" applyBorder="1"/>
    <xf numFmtId="165" fontId="0" fillId="7" borderId="1" xfId="0" applyNumberFormat="1" applyFill="1" applyBorder="1"/>
    <xf numFmtId="0" fontId="7" fillId="0" borderId="0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1" fontId="0" fillId="3" borderId="1" xfId="0" applyNumberFormat="1" applyFill="1" applyBorder="1"/>
    <xf numFmtId="4" fontId="0" fillId="8" borderId="1" xfId="0" applyNumberFormat="1" applyFill="1" applyBorder="1"/>
    <xf numFmtId="165" fontId="0" fillId="0" borderId="2" xfId="0" applyNumberFormat="1" applyFill="1" applyBorder="1"/>
    <xf numFmtId="3" fontId="0" fillId="0" borderId="0" xfId="0" applyNumberFormat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/>
    <xf numFmtId="3" fontId="0" fillId="0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0" borderId="2" xfId="0" applyNumberFormat="1" applyFill="1" applyBorder="1"/>
    <xf numFmtId="3" fontId="0" fillId="0" borderId="0" xfId="0" applyNumberFormat="1" applyBorder="1"/>
    <xf numFmtId="3" fontId="0" fillId="2" borderId="4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3" fontId="0" fillId="0" borderId="0" xfId="0" applyNumberFormat="1" applyFill="1" applyBorder="1"/>
    <xf numFmtId="0" fontId="9" fillId="0" borderId="0" xfId="0" applyFont="1"/>
    <xf numFmtId="1" fontId="0" fillId="0" borderId="0" xfId="0" applyNumberFormat="1"/>
    <xf numFmtId="1" fontId="0" fillId="0" borderId="1" xfId="0" applyNumberForma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right"/>
    </xf>
    <xf numFmtId="1" fontId="0" fillId="8" borderId="1" xfId="0" applyNumberFormat="1" applyFill="1" applyBorder="1"/>
    <xf numFmtId="1" fontId="0" fillId="2" borderId="1" xfId="0" applyNumberFormat="1" applyFill="1" applyBorder="1"/>
    <xf numFmtId="1" fontId="0" fillId="7" borderId="1" xfId="0" applyNumberFormat="1" applyFill="1" applyBorder="1"/>
    <xf numFmtId="1" fontId="0" fillId="0" borderId="1" xfId="0" applyNumberFormat="1" applyBorder="1"/>
    <xf numFmtId="1" fontId="0" fillId="0" borderId="0" xfId="0" applyNumberFormat="1" applyBorder="1"/>
    <xf numFmtId="1" fontId="0" fillId="2" borderId="4" xfId="0" applyNumberFormat="1" applyFill="1" applyBorder="1"/>
    <xf numFmtId="1" fontId="0" fillId="2" borderId="0" xfId="0" applyNumberFormat="1" applyFill="1" applyBorder="1"/>
    <xf numFmtId="1" fontId="0" fillId="2" borderId="9" xfId="0" applyNumberFormat="1" applyFill="1" applyBorder="1"/>
    <xf numFmtId="1" fontId="0" fillId="0" borderId="0" xfId="0" applyNumberFormat="1" applyFill="1" applyBorder="1"/>
    <xf numFmtId="4" fontId="0" fillId="9" borderId="1" xfId="0" applyNumberFormat="1" applyFill="1" applyBorder="1"/>
    <xf numFmtId="4" fontId="0" fillId="0" borderId="0" xfId="0" applyNumberFormat="1" applyFill="1" applyBorder="1" applyAlignment="1">
      <alignment wrapText="1"/>
    </xf>
    <xf numFmtId="4" fontId="0" fillId="9" borderId="0" xfId="0" applyNumberFormat="1" applyFill="1"/>
    <xf numFmtId="4" fontId="0" fillId="0" borderId="0" xfId="0" applyNumberFormat="1" applyAlignment="1">
      <alignment wrapText="1"/>
    </xf>
    <xf numFmtId="17" fontId="0" fillId="0" borderId="0" xfId="0" applyNumberFormat="1"/>
    <xf numFmtId="10" fontId="0" fillId="0" borderId="0" xfId="0" applyNumberFormat="1" applyFill="1"/>
    <xf numFmtId="9" fontId="0" fillId="0" borderId="0" xfId="0" applyNumberFormat="1" applyFill="1"/>
    <xf numFmtId="166" fontId="0" fillId="2" borderId="1" xfId="0" applyNumberFormat="1" applyFill="1" applyBorder="1"/>
    <xf numFmtId="0" fontId="0" fillId="2" borderId="0" xfId="0" applyFill="1"/>
    <xf numFmtId="0" fontId="0" fillId="5" borderId="0" xfId="0" applyFill="1"/>
    <xf numFmtId="4" fontId="0" fillId="5" borderId="0" xfId="0" applyNumberForma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etterkontor.de/de/wetter/deutschland/rueckblick.asp?id=170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B72E-A721-40E4-9D5D-EAF5DBF467C2}">
  <sheetPr>
    <pageSetUpPr fitToPage="1"/>
  </sheetPr>
  <dimension ref="A1:H50"/>
  <sheetViews>
    <sheetView workbookViewId="0">
      <selection activeCell="D50" sqref="D50"/>
    </sheetView>
  </sheetViews>
  <sheetFormatPr baseColWidth="10" defaultRowHeight="15" x14ac:dyDescent="0.25"/>
  <cols>
    <col min="1" max="1" width="47.42578125" customWidth="1"/>
    <col min="2" max="2" width="11.140625" customWidth="1"/>
    <col min="3" max="3" width="11" customWidth="1"/>
    <col min="4" max="4" width="9.5703125" customWidth="1"/>
    <col min="5" max="5" width="9.42578125" customWidth="1"/>
    <col min="6" max="6" width="11.140625" customWidth="1"/>
    <col min="7" max="7" width="9.85546875" customWidth="1"/>
  </cols>
  <sheetData>
    <row r="1" spans="1:8" ht="87.75" x14ac:dyDescent="0.25">
      <c r="A1" s="72" t="s">
        <v>49</v>
      </c>
      <c r="B1" s="94" t="s">
        <v>89</v>
      </c>
      <c r="C1" s="94" t="s">
        <v>90</v>
      </c>
      <c r="D1" s="91" t="s">
        <v>92</v>
      </c>
      <c r="E1" s="91" t="s">
        <v>94</v>
      </c>
      <c r="F1" s="94" t="s">
        <v>91</v>
      </c>
      <c r="G1" s="92" t="s">
        <v>93</v>
      </c>
    </row>
    <row r="2" spans="1:8" x14ac:dyDescent="0.25">
      <c r="A2" s="73" t="s">
        <v>48</v>
      </c>
      <c r="B2" s="82"/>
      <c r="C2" s="82"/>
      <c r="D2" s="82"/>
      <c r="E2" s="82"/>
      <c r="F2" s="82"/>
      <c r="G2" s="83"/>
      <c r="H2" s="60"/>
    </row>
    <row r="3" spans="1:8" ht="15.75" x14ac:dyDescent="0.25">
      <c r="A3" s="74" t="s">
        <v>5</v>
      </c>
      <c r="B3" s="84"/>
      <c r="C3" s="84"/>
      <c r="D3" s="84"/>
      <c r="E3" s="84"/>
      <c r="F3" s="84"/>
      <c r="G3" s="85"/>
      <c r="H3" s="77"/>
    </row>
    <row r="4" spans="1:8" x14ac:dyDescent="0.25">
      <c r="A4" s="73" t="s">
        <v>85</v>
      </c>
      <c r="B4" s="78"/>
      <c r="C4" s="78"/>
      <c r="D4" s="78"/>
      <c r="E4" s="78"/>
      <c r="F4" s="78"/>
      <c r="G4" s="79"/>
      <c r="H4" s="60"/>
    </row>
    <row r="5" spans="1:8" x14ac:dyDescent="0.25">
      <c r="A5" s="73" t="s">
        <v>51</v>
      </c>
      <c r="B5" s="78"/>
      <c r="C5" s="78"/>
      <c r="D5" s="78"/>
      <c r="E5" s="78"/>
      <c r="F5" s="78"/>
      <c r="G5" s="79"/>
      <c r="H5" s="60"/>
    </row>
    <row r="6" spans="1:8" x14ac:dyDescent="0.25">
      <c r="A6" s="73" t="s">
        <v>86</v>
      </c>
      <c r="B6" s="78"/>
      <c r="C6" s="78"/>
      <c r="D6" s="78"/>
      <c r="E6" s="78"/>
      <c r="F6" s="78"/>
      <c r="G6" s="79"/>
      <c r="H6" s="60"/>
    </row>
    <row r="7" spans="1:8" x14ac:dyDescent="0.25">
      <c r="A7" s="73" t="s">
        <v>50</v>
      </c>
      <c r="B7" s="78"/>
      <c r="C7" s="78"/>
      <c r="D7" s="78"/>
      <c r="E7" s="78"/>
      <c r="F7" s="78"/>
      <c r="G7" s="79"/>
      <c r="H7" s="60"/>
    </row>
    <row r="8" spans="1:8" x14ac:dyDescent="0.25">
      <c r="A8" s="73" t="s">
        <v>6</v>
      </c>
      <c r="B8" s="6"/>
      <c r="C8" s="6"/>
      <c r="D8" s="6"/>
      <c r="E8" s="6"/>
      <c r="F8" s="88" t="s">
        <v>47</v>
      </c>
      <c r="G8" s="76"/>
      <c r="H8" s="60"/>
    </row>
    <row r="9" spans="1:8" x14ac:dyDescent="0.25">
      <c r="A9" s="73" t="s">
        <v>7</v>
      </c>
      <c r="B9" s="6"/>
      <c r="C9" s="6"/>
      <c r="D9" s="87" t="s">
        <v>47</v>
      </c>
      <c r="E9" s="6"/>
      <c r="F9" s="6"/>
      <c r="G9" s="86" t="s">
        <v>47</v>
      </c>
      <c r="H9" s="60"/>
    </row>
    <row r="10" spans="1:8" x14ac:dyDescent="0.25">
      <c r="A10" s="73" t="s">
        <v>23</v>
      </c>
      <c r="B10" s="6"/>
      <c r="C10" s="6"/>
      <c r="D10" s="6"/>
      <c r="E10" s="6"/>
      <c r="F10" s="88" t="s">
        <v>47</v>
      </c>
      <c r="G10" s="76"/>
      <c r="H10" s="60"/>
    </row>
    <row r="11" spans="1:8" x14ac:dyDescent="0.25">
      <c r="A11" s="73" t="s">
        <v>8</v>
      </c>
      <c r="B11" s="6"/>
      <c r="C11" s="6"/>
      <c r="D11" s="6"/>
      <c r="E11" s="6"/>
      <c r="F11" s="88" t="s">
        <v>47</v>
      </c>
      <c r="G11" s="76"/>
      <c r="H11" s="60"/>
    </row>
    <row r="12" spans="1:8" x14ac:dyDescent="0.25">
      <c r="A12" s="73" t="s">
        <v>9</v>
      </c>
      <c r="B12" s="6"/>
      <c r="C12" s="6"/>
      <c r="D12" s="87" t="s">
        <v>47</v>
      </c>
      <c r="E12" s="6"/>
      <c r="F12" s="6"/>
      <c r="G12" s="86" t="s">
        <v>47</v>
      </c>
      <c r="H12" s="60"/>
    </row>
    <row r="13" spans="1:8" x14ac:dyDescent="0.25">
      <c r="A13" s="73" t="s">
        <v>11</v>
      </c>
      <c r="B13" s="6"/>
      <c r="C13" s="6"/>
      <c r="D13" s="6"/>
      <c r="E13" s="6"/>
      <c r="F13" s="88" t="s">
        <v>47</v>
      </c>
      <c r="G13" s="76"/>
      <c r="H13" s="60"/>
    </row>
    <row r="14" spans="1:8" x14ac:dyDescent="0.25">
      <c r="A14" s="73" t="s">
        <v>12</v>
      </c>
      <c r="B14" s="6"/>
      <c r="C14" s="6"/>
      <c r="D14" s="87" t="s">
        <v>47</v>
      </c>
      <c r="E14" s="6"/>
      <c r="F14" s="6"/>
      <c r="G14" s="86" t="s">
        <v>47</v>
      </c>
      <c r="H14" s="60"/>
    </row>
    <row r="15" spans="1:8" x14ac:dyDescent="0.25">
      <c r="A15" s="73" t="s">
        <v>10</v>
      </c>
      <c r="B15" s="6"/>
      <c r="C15" s="6"/>
      <c r="D15" s="6"/>
      <c r="E15" s="6"/>
      <c r="F15" s="88" t="s">
        <v>47</v>
      </c>
      <c r="G15" s="76"/>
      <c r="H15" s="60"/>
    </row>
    <row r="16" spans="1:8" x14ac:dyDescent="0.25">
      <c r="A16" s="73" t="s">
        <v>13</v>
      </c>
      <c r="B16" s="6"/>
      <c r="C16" s="6"/>
      <c r="D16" s="87" t="s">
        <v>47</v>
      </c>
      <c r="E16" s="6"/>
      <c r="F16" s="6"/>
      <c r="G16" s="86" t="s">
        <v>47</v>
      </c>
      <c r="H16" s="60"/>
    </row>
    <row r="17" spans="1:8" x14ac:dyDescent="0.25">
      <c r="A17" s="73" t="s">
        <v>14</v>
      </c>
      <c r="B17" s="6"/>
      <c r="C17" s="6"/>
      <c r="D17" s="6"/>
      <c r="E17" s="6"/>
      <c r="F17" s="88" t="s">
        <v>47</v>
      </c>
      <c r="G17" s="76"/>
      <c r="H17" s="60"/>
    </row>
    <row r="18" spans="1:8" x14ac:dyDescent="0.25">
      <c r="A18" s="73" t="s">
        <v>15</v>
      </c>
      <c r="B18" s="6"/>
      <c r="C18" s="6"/>
      <c r="D18" s="87" t="s">
        <v>47</v>
      </c>
      <c r="E18" s="6"/>
      <c r="F18" s="6"/>
      <c r="G18" s="86" t="s">
        <v>47</v>
      </c>
      <c r="H18" s="60"/>
    </row>
    <row r="19" spans="1:8" x14ac:dyDescent="0.25">
      <c r="A19" s="73" t="s">
        <v>24</v>
      </c>
      <c r="B19" s="6"/>
      <c r="C19" s="6"/>
      <c r="D19" s="6"/>
      <c r="E19" s="6"/>
      <c r="F19" s="88" t="s">
        <v>47</v>
      </c>
      <c r="G19" s="76"/>
      <c r="H19" s="60"/>
    </row>
    <row r="20" spans="1:8" x14ac:dyDescent="0.25">
      <c r="A20" s="73" t="s">
        <v>25</v>
      </c>
      <c r="B20" s="6"/>
      <c r="C20" s="6"/>
      <c r="D20" s="87" t="s">
        <v>47</v>
      </c>
      <c r="E20" s="6"/>
      <c r="F20" s="6"/>
      <c r="G20" s="86" t="s">
        <v>47</v>
      </c>
      <c r="H20" s="60"/>
    </row>
    <row r="21" spans="1:8" x14ac:dyDescent="0.25">
      <c r="A21" s="73" t="s">
        <v>19</v>
      </c>
      <c r="B21" s="6"/>
      <c r="C21" s="6"/>
      <c r="D21" s="6"/>
      <c r="E21" s="6"/>
      <c r="F21" s="88" t="s">
        <v>47</v>
      </c>
      <c r="G21" s="76"/>
      <c r="H21" s="60"/>
    </row>
    <row r="22" spans="1:8" x14ac:dyDescent="0.25">
      <c r="A22" s="73" t="s">
        <v>16</v>
      </c>
      <c r="B22" s="6"/>
      <c r="C22" s="6"/>
      <c r="D22" s="6"/>
      <c r="E22" s="6"/>
      <c r="F22" s="88" t="s">
        <v>47</v>
      </c>
      <c r="G22" s="76"/>
      <c r="H22" s="60"/>
    </row>
    <row r="23" spans="1:8" x14ac:dyDescent="0.25">
      <c r="A23" s="73" t="s">
        <v>17</v>
      </c>
      <c r="B23" s="6"/>
      <c r="C23" s="6"/>
      <c r="D23" s="87" t="s">
        <v>47</v>
      </c>
      <c r="E23" s="6"/>
      <c r="F23" s="6"/>
      <c r="G23" s="86" t="s">
        <v>47</v>
      </c>
      <c r="H23" s="60"/>
    </row>
    <row r="24" spans="1:8" x14ac:dyDescent="0.25">
      <c r="A24" s="73" t="s">
        <v>18</v>
      </c>
      <c r="B24" s="6"/>
      <c r="C24" s="6"/>
      <c r="D24" s="6"/>
      <c r="E24" s="6"/>
      <c r="F24" s="88" t="s">
        <v>47</v>
      </c>
      <c r="G24" s="76"/>
      <c r="H24" s="60"/>
    </row>
    <row r="25" spans="1:8" x14ac:dyDescent="0.25">
      <c r="A25" s="73" t="s">
        <v>20</v>
      </c>
      <c r="B25" s="78"/>
      <c r="C25" s="78"/>
      <c r="D25" s="78" t="s">
        <v>63</v>
      </c>
      <c r="E25" s="78"/>
      <c r="F25" s="78"/>
      <c r="G25" s="79"/>
      <c r="H25" s="60"/>
    </row>
    <row r="26" spans="1:8" x14ac:dyDescent="0.25">
      <c r="A26" s="73" t="s">
        <v>21</v>
      </c>
      <c r="B26" s="6"/>
      <c r="C26" s="6"/>
      <c r="D26" s="87" t="s">
        <v>47</v>
      </c>
      <c r="E26" s="6"/>
      <c r="F26" s="6"/>
      <c r="G26" s="76"/>
      <c r="H26" s="60"/>
    </row>
    <row r="27" spans="1:8" x14ac:dyDescent="0.25">
      <c r="A27" s="73" t="s">
        <v>22</v>
      </c>
      <c r="B27" s="78"/>
      <c r="C27" s="78"/>
      <c r="D27" s="78"/>
      <c r="E27" s="78"/>
      <c r="F27" s="78"/>
      <c r="G27" s="79"/>
      <c r="H27" s="60"/>
    </row>
    <row r="28" spans="1:8" x14ac:dyDescent="0.25">
      <c r="A28" s="73" t="s">
        <v>26</v>
      </c>
      <c r="B28" s="78"/>
      <c r="C28" s="78"/>
      <c r="D28" s="78"/>
      <c r="E28" s="78"/>
      <c r="F28" s="78"/>
      <c r="G28" s="79"/>
      <c r="H28" s="60"/>
    </row>
    <row r="29" spans="1:8" x14ac:dyDescent="0.25">
      <c r="A29" s="73" t="s">
        <v>27</v>
      </c>
      <c r="B29" s="6"/>
      <c r="C29" s="6"/>
      <c r="D29" s="87" t="s">
        <v>47</v>
      </c>
      <c r="E29" s="6"/>
      <c r="F29" s="6"/>
      <c r="G29" s="76"/>
      <c r="H29" s="60"/>
    </row>
    <row r="30" spans="1:8" x14ac:dyDescent="0.25">
      <c r="A30" s="73" t="s">
        <v>28</v>
      </c>
      <c r="B30" s="78"/>
      <c r="C30" s="78"/>
      <c r="D30" s="78"/>
      <c r="E30" s="78"/>
      <c r="F30" s="78"/>
      <c r="G30" s="79"/>
      <c r="H30" s="60"/>
    </row>
    <row r="31" spans="1:8" x14ac:dyDescent="0.25">
      <c r="A31" s="73" t="s">
        <v>29</v>
      </c>
      <c r="B31" s="6"/>
      <c r="C31" s="6"/>
      <c r="D31" s="87" t="s">
        <v>47</v>
      </c>
      <c r="E31" s="6"/>
      <c r="F31" s="6"/>
      <c r="G31" s="76"/>
      <c r="H31" s="60"/>
    </row>
    <row r="32" spans="1:8" x14ac:dyDescent="0.25">
      <c r="A32" s="73" t="s">
        <v>30</v>
      </c>
      <c r="B32" s="78"/>
      <c r="C32" s="78"/>
      <c r="D32" s="78"/>
      <c r="E32" s="78"/>
      <c r="F32" s="78"/>
      <c r="G32" s="79"/>
      <c r="H32" s="60"/>
    </row>
    <row r="33" spans="1:8" x14ac:dyDescent="0.25">
      <c r="A33" s="73" t="s">
        <v>31</v>
      </c>
      <c r="B33" s="6"/>
      <c r="C33" s="6"/>
      <c r="D33" s="87" t="s">
        <v>47</v>
      </c>
      <c r="E33" s="6"/>
      <c r="F33" s="6"/>
      <c r="G33" s="76"/>
      <c r="H33" s="60"/>
    </row>
    <row r="34" spans="1:8" x14ac:dyDescent="0.25">
      <c r="A34" s="73" t="s">
        <v>32</v>
      </c>
      <c r="B34" s="78"/>
      <c r="C34" s="78"/>
      <c r="D34" s="78"/>
      <c r="E34" s="78"/>
      <c r="F34" s="78"/>
      <c r="G34" s="79"/>
      <c r="H34" s="60"/>
    </row>
    <row r="35" spans="1:8" x14ac:dyDescent="0.25">
      <c r="A35" s="73" t="s">
        <v>33</v>
      </c>
      <c r="B35" s="6"/>
      <c r="C35" s="6"/>
      <c r="D35" s="87" t="s">
        <v>47</v>
      </c>
      <c r="E35" s="6"/>
      <c r="F35" s="6"/>
      <c r="G35" s="76"/>
      <c r="H35" s="60"/>
    </row>
    <row r="36" spans="1:8" x14ac:dyDescent="0.25">
      <c r="A36" s="73" t="s">
        <v>34</v>
      </c>
      <c r="B36" s="78"/>
      <c r="C36" s="78"/>
      <c r="D36" s="78"/>
      <c r="E36" s="78"/>
      <c r="F36" s="78"/>
      <c r="G36" s="79"/>
      <c r="H36" s="60"/>
    </row>
    <row r="37" spans="1:8" x14ac:dyDescent="0.25">
      <c r="A37" s="73" t="s">
        <v>35</v>
      </c>
      <c r="B37" s="6"/>
      <c r="C37" s="6"/>
      <c r="D37" s="87" t="s">
        <v>47</v>
      </c>
      <c r="E37" s="6"/>
      <c r="F37" s="6"/>
      <c r="G37" s="76"/>
      <c r="H37" s="60"/>
    </row>
    <row r="38" spans="1:8" x14ac:dyDescent="0.25">
      <c r="A38" s="73" t="s">
        <v>36</v>
      </c>
      <c r="B38" s="89" t="s">
        <v>47</v>
      </c>
      <c r="C38" s="89" t="s">
        <v>47</v>
      </c>
      <c r="D38" s="78"/>
      <c r="E38" s="78"/>
      <c r="F38" s="78"/>
      <c r="G38" s="79"/>
      <c r="H38" s="60"/>
    </row>
    <row r="39" spans="1:8" x14ac:dyDescent="0.25">
      <c r="A39" s="73" t="s">
        <v>37</v>
      </c>
      <c r="B39" s="6"/>
      <c r="C39" s="6"/>
      <c r="D39" s="87" t="s">
        <v>47</v>
      </c>
      <c r="E39" s="87" t="s">
        <v>47</v>
      </c>
      <c r="F39" s="6"/>
      <c r="G39" s="76"/>
      <c r="H39" s="60"/>
    </row>
    <row r="40" spans="1:8" x14ac:dyDescent="0.25">
      <c r="A40" s="73" t="s">
        <v>38</v>
      </c>
      <c r="B40" s="89" t="s">
        <v>47</v>
      </c>
      <c r="C40" s="89" t="s">
        <v>47</v>
      </c>
      <c r="D40" s="78"/>
      <c r="E40" s="78"/>
      <c r="F40" s="78"/>
      <c r="G40" s="79"/>
      <c r="H40" s="60"/>
    </row>
    <row r="41" spans="1:8" x14ac:dyDescent="0.25">
      <c r="A41" s="73" t="s">
        <v>39</v>
      </c>
      <c r="B41" s="6" t="s">
        <v>63</v>
      </c>
      <c r="C41" s="6"/>
      <c r="D41" s="6"/>
      <c r="E41" s="6"/>
      <c r="F41" s="6"/>
      <c r="G41" s="76"/>
      <c r="H41" s="60"/>
    </row>
    <row r="42" spans="1:8" x14ac:dyDescent="0.25">
      <c r="A42" s="73" t="s">
        <v>40</v>
      </c>
      <c r="B42" s="93" t="s">
        <v>52</v>
      </c>
      <c r="C42" s="6"/>
      <c r="D42" s="6"/>
      <c r="E42" s="6"/>
      <c r="F42" s="6"/>
      <c r="G42" s="76"/>
      <c r="H42" s="60"/>
    </row>
    <row r="43" spans="1:8" x14ac:dyDescent="0.25">
      <c r="A43" s="73" t="s">
        <v>41</v>
      </c>
      <c r="B43" s="6" t="s">
        <v>63</v>
      </c>
      <c r="C43" s="6"/>
      <c r="D43" s="6"/>
      <c r="E43" s="6"/>
      <c r="F43" s="6"/>
      <c r="G43" s="76"/>
      <c r="H43" s="60"/>
    </row>
    <row r="44" spans="1:8" x14ac:dyDescent="0.25">
      <c r="A44" s="73" t="s">
        <v>42</v>
      </c>
      <c r="B44" s="93" t="s">
        <v>52</v>
      </c>
      <c r="C44" s="6"/>
      <c r="D44" s="6"/>
      <c r="E44" s="6"/>
      <c r="F44" s="6"/>
      <c r="G44" s="76"/>
      <c r="H44" s="60"/>
    </row>
    <row r="45" spans="1:8" x14ac:dyDescent="0.25">
      <c r="A45" s="73" t="s">
        <v>43</v>
      </c>
      <c r="B45" s="6"/>
      <c r="C45" s="6"/>
      <c r="D45" s="6"/>
      <c r="E45" s="6"/>
      <c r="F45" s="6"/>
      <c r="G45" s="76"/>
      <c r="H45" s="60"/>
    </row>
    <row r="46" spans="1:8" x14ac:dyDescent="0.25">
      <c r="A46" s="73" t="s">
        <v>46</v>
      </c>
      <c r="B46" s="88" t="s">
        <v>47</v>
      </c>
      <c r="C46" s="6"/>
      <c r="D46" s="6"/>
      <c r="E46" s="6"/>
      <c r="F46" s="6"/>
      <c r="G46" s="76"/>
      <c r="H46" s="60"/>
    </row>
    <row r="47" spans="1:8" x14ac:dyDescent="0.25">
      <c r="A47" s="73" t="s">
        <v>44</v>
      </c>
      <c r="B47" s="93" t="s">
        <v>53</v>
      </c>
      <c r="C47" s="6"/>
      <c r="D47" s="6"/>
      <c r="E47" s="6"/>
      <c r="F47" s="6"/>
      <c r="G47" s="76"/>
      <c r="H47" s="60"/>
    </row>
    <row r="48" spans="1:8" ht="15.75" thickBot="1" x14ac:dyDescent="0.3">
      <c r="A48" s="75" t="s">
        <v>45</v>
      </c>
      <c r="B48" s="90" t="s">
        <v>47</v>
      </c>
      <c r="C48" s="80"/>
      <c r="D48" s="80"/>
      <c r="E48" s="80"/>
      <c r="F48" s="80"/>
      <c r="G48" s="81"/>
      <c r="H48" s="60"/>
    </row>
    <row r="49" spans="2:8" x14ac:dyDescent="0.25">
      <c r="B49" s="71"/>
      <c r="C49" s="103"/>
      <c r="D49" s="71"/>
      <c r="E49" s="71"/>
      <c r="F49" s="71"/>
      <c r="G49" s="71"/>
      <c r="H49" s="60"/>
    </row>
    <row r="50" spans="2:8" x14ac:dyDescent="0.25">
      <c r="B50" s="4"/>
      <c r="C50" s="4"/>
      <c r="D50" s="4"/>
      <c r="E50" s="4"/>
      <c r="F50" s="4"/>
      <c r="G50" s="4"/>
    </row>
  </sheetData>
  <pageMargins left="0.7" right="0.7" top="0.78740157499999996" bottom="0.78740157499999996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87A14-9F95-4A6B-BEDA-EC34BCE183C5}">
  <sheetPr>
    <pageSetUpPr fitToPage="1"/>
  </sheetPr>
  <dimension ref="A1:AI393"/>
  <sheetViews>
    <sheetView tabSelected="1" topLeftCell="I1" zoomScale="70" zoomScaleNormal="70" workbookViewId="0">
      <pane ySplit="8" topLeftCell="A275" activePane="bottomLeft" state="frozen"/>
      <selection activeCell="H7" sqref="H7"/>
      <selection pane="bottomLeft" activeCell="W286" sqref="W286"/>
    </sheetView>
  </sheetViews>
  <sheetFormatPr baseColWidth="10" defaultRowHeight="15" x14ac:dyDescent="0.25"/>
  <cols>
    <col min="1" max="1" width="17.140625" customWidth="1"/>
    <col min="2" max="2" width="14.85546875" customWidth="1"/>
    <col min="3" max="3" width="13.85546875" customWidth="1"/>
    <col min="4" max="6" width="11.42578125" customWidth="1"/>
    <col min="7" max="7" width="13" customWidth="1"/>
    <col min="8" max="8" width="11.7109375" customWidth="1"/>
    <col min="9" max="9" width="14.140625" customWidth="1"/>
    <col min="10" max="10" width="11.42578125" customWidth="1"/>
    <col min="11" max="11" width="13.7109375" customWidth="1"/>
    <col min="12" max="12" width="11.42578125" customWidth="1"/>
    <col min="13" max="13" width="16.7109375" customWidth="1"/>
    <col min="14" max="14" width="13" style="21" customWidth="1"/>
    <col min="15" max="15" width="11.42578125" style="111" customWidth="1"/>
    <col min="16" max="16" width="11.42578125" customWidth="1"/>
    <col min="17" max="17" width="11.42578125" style="9" customWidth="1"/>
    <col min="18" max="18" width="11.42578125" style="111" customWidth="1"/>
    <col min="19" max="22" width="11.42578125" customWidth="1"/>
    <col min="23" max="23" width="11.42578125" style="9" customWidth="1"/>
    <col min="24" max="24" width="11.42578125" customWidth="1"/>
    <col min="25" max="25" width="11.42578125" style="125" customWidth="1"/>
    <col min="26" max="26" width="11.42578125" style="9" customWidth="1"/>
    <col min="27" max="29" width="11.42578125" customWidth="1"/>
    <col min="30" max="30" width="13" style="21" customWidth="1"/>
    <col min="31" max="32" width="11.42578125" customWidth="1"/>
    <col min="34" max="34" width="11.42578125" style="9"/>
  </cols>
  <sheetData>
    <row r="1" spans="1:35" x14ac:dyDescent="0.25">
      <c r="H1" t="s">
        <v>121</v>
      </c>
      <c r="J1" s="9">
        <v>169</v>
      </c>
    </row>
    <row r="2" spans="1:35" x14ac:dyDescent="0.25">
      <c r="B2" t="s">
        <v>54</v>
      </c>
      <c r="C2">
        <v>0.28970000000000001</v>
      </c>
      <c r="H2" t="s">
        <v>120</v>
      </c>
      <c r="J2" s="9">
        <v>170</v>
      </c>
      <c r="K2" t="s">
        <v>124</v>
      </c>
      <c r="L2" s="9"/>
    </row>
    <row r="3" spans="1:35" x14ac:dyDescent="0.25">
      <c r="B3" t="s">
        <v>56</v>
      </c>
      <c r="C3">
        <v>0.3</v>
      </c>
      <c r="H3" t="s">
        <v>125</v>
      </c>
      <c r="J3" s="9">
        <v>60</v>
      </c>
      <c r="K3" t="s">
        <v>124</v>
      </c>
      <c r="L3" s="9"/>
    </row>
    <row r="4" spans="1:35" ht="45" x14ac:dyDescent="0.25">
      <c r="B4" t="s">
        <v>67</v>
      </c>
      <c r="C4">
        <v>4.9399999999999999E-2</v>
      </c>
      <c r="D4" t="s">
        <v>68</v>
      </c>
      <c r="F4" s="11" t="s">
        <v>73</v>
      </c>
      <c r="G4">
        <f>7510/677</f>
        <v>11.093057607090103</v>
      </c>
      <c r="H4" t="s">
        <v>122</v>
      </c>
      <c r="J4" s="9">
        <v>432</v>
      </c>
      <c r="K4" t="s">
        <v>124</v>
      </c>
      <c r="L4" s="124">
        <v>21.9</v>
      </c>
    </row>
    <row r="5" spans="1:35" x14ac:dyDescent="0.25">
      <c r="B5" t="s">
        <v>128</v>
      </c>
      <c r="C5">
        <v>8.8200000000000001E-2</v>
      </c>
      <c r="D5" t="s">
        <v>68</v>
      </c>
      <c r="G5">
        <f>7510/677</f>
        <v>11.093057607090103</v>
      </c>
      <c r="H5" t="s">
        <v>123</v>
      </c>
      <c r="J5" s="9"/>
      <c r="L5" s="9"/>
    </row>
    <row r="6" spans="1:35" x14ac:dyDescent="0.25">
      <c r="B6" t="s">
        <v>127</v>
      </c>
      <c r="C6">
        <v>0.1177</v>
      </c>
      <c r="D6" t="s">
        <v>68</v>
      </c>
      <c r="AG6" s="31">
        <v>2.5</v>
      </c>
    </row>
    <row r="7" spans="1:35" ht="15.75" thickBot="1" x14ac:dyDescent="0.3">
      <c r="A7">
        <f>_xlfn.DAYS(A12,A11)</f>
        <v>5</v>
      </c>
      <c r="AG7" s="31"/>
    </row>
    <row r="8" spans="1:35" ht="135" x14ac:dyDescent="0.25">
      <c r="A8" s="1" t="s">
        <v>49</v>
      </c>
      <c r="B8" s="3" t="s">
        <v>0</v>
      </c>
      <c r="C8" s="97" t="s">
        <v>108</v>
      </c>
      <c r="D8" s="3" t="s">
        <v>1</v>
      </c>
      <c r="E8" s="94" t="s">
        <v>109</v>
      </c>
      <c r="F8" s="91" t="s">
        <v>2</v>
      </c>
      <c r="G8" s="91" t="s">
        <v>110</v>
      </c>
      <c r="H8" s="3" t="s">
        <v>3</v>
      </c>
      <c r="I8" s="91" t="s">
        <v>111</v>
      </c>
      <c r="J8" s="3" t="s">
        <v>4</v>
      </c>
      <c r="K8" s="94" t="s">
        <v>112</v>
      </c>
      <c r="L8" s="14" t="s">
        <v>87</v>
      </c>
      <c r="M8" s="95" t="s">
        <v>113</v>
      </c>
      <c r="N8" s="64" t="s">
        <v>114</v>
      </c>
      <c r="O8" s="112" t="s">
        <v>54</v>
      </c>
      <c r="P8" s="12" t="s">
        <v>70</v>
      </c>
      <c r="Q8" s="13" t="s">
        <v>69</v>
      </c>
      <c r="R8" s="112" t="s">
        <v>55</v>
      </c>
      <c r="S8" s="12" t="s">
        <v>70</v>
      </c>
      <c r="T8" s="12" t="s">
        <v>69</v>
      </c>
      <c r="U8" s="6" t="s">
        <v>56</v>
      </c>
      <c r="V8" s="12" t="s">
        <v>70</v>
      </c>
      <c r="W8" s="13" t="s">
        <v>69</v>
      </c>
      <c r="X8" s="6" t="s">
        <v>57</v>
      </c>
      <c r="Y8" s="126" t="s">
        <v>129</v>
      </c>
      <c r="Z8" s="13" t="s">
        <v>69</v>
      </c>
      <c r="AA8" s="6" t="s">
        <v>58</v>
      </c>
      <c r="AB8" s="12" t="s">
        <v>70</v>
      </c>
      <c r="AC8" s="12" t="s">
        <v>69</v>
      </c>
      <c r="AD8" s="22" t="s">
        <v>77</v>
      </c>
      <c r="AE8" s="6" t="s">
        <v>59</v>
      </c>
      <c r="AF8" s="12" t="s">
        <v>72</v>
      </c>
      <c r="AG8" s="26" t="s">
        <v>71</v>
      </c>
      <c r="AH8" s="27"/>
    </row>
    <row r="9" spans="1:35" ht="15.75" x14ac:dyDescent="0.25">
      <c r="A9" s="7">
        <v>44364</v>
      </c>
      <c r="B9" s="69"/>
      <c r="C9" s="17"/>
      <c r="D9" s="3"/>
      <c r="E9" s="105"/>
      <c r="F9" s="3"/>
      <c r="G9" s="105"/>
      <c r="H9" s="3"/>
      <c r="I9" s="106"/>
      <c r="J9" s="3"/>
      <c r="K9" s="106"/>
      <c r="L9" s="3"/>
      <c r="M9" s="106"/>
      <c r="N9" s="106"/>
      <c r="O9" s="113">
        <v>61736</v>
      </c>
      <c r="P9" s="15"/>
      <c r="Q9" s="16"/>
      <c r="R9" s="112"/>
      <c r="S9" s="19"/>
      <c r="T9" s="19"/>
      <c r="U9" s="8">
        <v>31424</v>
      </c>
      <c r="V9" s="15"/>
      <c r="W9" s="16"/>
      <c r="X9" s="8">
        <v>7799</v>
      </c>
      <c r="Y9" s="127"/>
      <c r="Z9" s="16"/>
      <c r="AA9" s="8">
        <v>507</v>
      </c>
      <c r="AB9" s="23"/>
      <c r="AC9" s="15"/>
      <c r="AD9" s="23"/>
      <c r="AE9" s="65"/>
      <c r="AF9" s="19"/>
      <c r="AG9" s="6"/>
      <c r="AH9" s="28"/>
    </row>
    <row r="10" spans="1:35" x14ac:dyDescent="0.25">
      <c r="A10" s="5">
        <v>44444</v>
      </c>
      <c r="B10" s="69">
        <v>4.0449999999999999</v>
      </c>
      <c r="C10" s="104"/>
      <c r="D10" s="3">
        <v>0.23400000000000001</v>
      </c>
      <c r="E10" s="105"/>
      <c r="F10" s="3">
        <v>8.9499999999999993</v>
      </c>
      <c r="G10" s="105"/>
      <c r="H10" s="3">
        <v>7.0000000000000007E-2</v>
      </c>
      <c r="I10" s="106"/>
      <c r="J10" s="3">
        <v>14.05</v>
      </c>
      <c r="K10" s="106"/>
      <c r="L10" s="3">
        <v>7.71</v>
      </c>
      <c r="M10" s="106"/>
      <c r="N10" s="106"/>
      <c r="O10" s="114"/>
      <c r="P10" s="17"/>
      <c r="Q10" s="18"/>
      <c r="R10" s="114"/>
      <c r="S10" s="17"/>
      <c r="T10" s="17"/>
      <c r="U10" s="2"/>
      <c r="V10" s="17"/>
      <c r="W10" s="18"/>
      <c r="X10" s="2"/>
      <c r="Y10" s="108"/>
      <c r="Z10" s="18"/>
      <c r="AA10" s="2"/>
      <c r="AB10" s="24"/>
      <c r="AC10" s="17"/>
      <c r="AD10" s="24"/>
      <c r="AE10" s="25"/>
      <c r="AF10" s="17"/>
      <c r="AG10" s="2"/>
      <c r="AH10" s="29"/>
    </row>
    <row r="11" spans="1:35" x14ac:dyDescent="0.25">
      <c r="A11" s="5">
        <v>44495</v>
      </c>
      <c r="B11" s="69"/>
      <c r="C11" s="104"/>
      <c r="D11" s="3"/>
      <c r="E11" s="105"/>
      <c r="F11" s="3"/>
      <c r="G11" s="105"/>
      <c r="H11" s="3"/>
      <c r="I11" s="106"/>
      <c r="J11" s="3"/>
      <c r="K11" s="106"/>
      <c r="L11" s="3"/>
      <c r="M11" s="106"/>
      <c r="N11" s="106"/>
      <c r="O11" s="114"/>
      <c r="P11" s="17"/>
      <c r="Q11" s="18"/>
      <c r="R11" s="114"/>
      <c r="S11" s="17"/>
      <c r="T11" s="17"/>
      <c r="U11" s="2">
        <v>32035</v>
      </c>
      <c r="V11" s="17"/>
      <c r="W11" s="18"/>
      <c r="X11" s="2"/>
      <c r="Y11" s="128" t="s">
        <v>63</v>
      </c>
      <c r="Z11" s="18"/>
      <c r="AA11" s="2"/>
      <c r="AB11" s="24"/>
      <c r="AC11" s="17"/>
      <c r="AD11" s="24"/>
      <c r="AE11" s="25"/>
      <c r="AF11" s="17"/>
      <c r="AG11" s="2"/>
      <c r="AH11" s="29"/>
      <c r="AI11">
        <f>_xlfn.DAYS("31.12.2021","17.6.2021")</f>
        <v>197</v>
      </c>
    </row>
    <row r="12" spans="1:35" x14ac:dyDescent="0.25">
      <c r="A12" s="5">
        <v>44500</v>
      </c>
      <c r="B12" s="69"/>
      <c r="C12" s="104"/>
      <c r="D12" s="3"/>
      <c r="E12" s="105"/>
      <c r="F12" s="3"/>
      <c r="G12" s="105"/>
      <c r="H12" s="3"/>
      <c r="I12" s="106"/>
      <c r="J12" s="3"/>
      <c r="K12" s="106"/>
      <c r="L12" s="3"/>
      <c r="M12" s="106"/>
      <c r="N12" s="106"/>
      <c r="O12" s="114"/>
      <c r="P12" s="17"/>
      <c r="Q12" s="18"/>
      <c r="R12" s="114"/>
      <c r="S12" s="17"/>
      <c r="T12" s="17"/>
      <c r="U12" s="2"/>
      <c r="V12" s="17"/>
      <c r="W12" s="18"/>
      <c r="X12" s="2">
        <v>8364</v>
      </c>
      <c r="Y12" s="128" t="s">
        <v>63</v>
      </c>
      <c r="Z12" s="18"/>
      <c r="AA12" s="2"/>
      <c r="AB12" s="24"/>
      <c r="AC12" s="17"/>
      <c r="AD12" s="24"/>
      <c r="AE12" s="25"/>
      <c r="AF12" s="17"/>
      <c r="AG12" s="2"/>
      <c r="AH12" s="29"/>
    </row>
    <row r="13" spans="1:35" x14ac:dyDescent="0.25">
      <c r="A13" s="36">
        <v>44527</v>
      </c>
      <c r="B13" s="67">
        <v>8.35</v>
      </c>
      <c r="C13" s="18"/>
      <c r="D13" s="2">
        <v>0.4</v>
      </c>
      <c r="E13" s="24"/>
      <c r="F13" s="2">
        <v>19.401</v>
      </c>
      <c r="G13" s="24"/>
      <c r="H13" s="2">
        <v>0.1</v>
      </c>
      <c r="I13" s="107"/>
      <c r="J13" s="2">
        <v>29.4</v>
      </c>
      <c r="K13" s="107"/>
      <c r="L13" s="2">
        <v>17.600000000000001</v>
      </c>
      <c r="M13" s="107"/>
      <c r="N13" s="107"/>
      <c r="O13" s="114">
        <v>65112</v>
      </c>
      <c r="P13" s="17"/>
      <c r="Q13" s="18"/>
      <c r="R13" s="114">
        <v>427</v>
      </c>
      <c r="S13" s="17"/>
      <c r="T13" s="17"/>
      <c r="U13" s="2"/>
      <c r="V13" s="17"/>
      <c r="W13" s="18"/>
      <c r="X13" s="2">
        <v>8836</v>
      </c>
      <c r="Y13" s="128" t="s">
        <v>63</v>
      </c>
      <c r="Z13" s="18"/>
      <c r="AA13" s="2">
        <v>669</v>
      </c>
      <c r="AB13" s="24"/>
      <c r="AC13" s="17"/>
      <c r="AD13" s="24"/>
      <c r="AE13" s="25"/>
      <c r="AF13" s="17"/>
      <c r="AG13" s="2"/>
      <c r="AH13" s="29"/>
    </row>
    <row r="14" spans="1:35" x14ac:dyDescent="0.25">
      <c r="A14" s="5">
        <v>44546</v>
      </c>
      <c r="B14" s="67"/>
      <c r="C14" s="18"/>
      <c r="D14" s="2"/>
      <c r="E14" s="24"/>
      <c r="F14" s="2"/>
      <c r="G14" s="24"/>
      <c r="H14" s="2"/>
      <c r="I14" s="107"/>
      <c r="J14" s="2"/>
      <c r="K14" s="107"/>
      <c r="L14" s="2"/>
      <c r="M14" s="107"/>
      <c r="N14" s="107"/>
      <c r="O14" s="114">
        <v>65158</v>
      </c>
      <c r="P14" s="17"/>
      <c r="Q14" s="18"/>
      <c r="R14" s="114"/>
      <c r="S14" s="17"/>
      <c r="T14" s="17"/>
      <c r="U14" s="2"/>
      <c r="V14" s="17"/>
      <c r="W14" s="18"/>
      <c r="X14" s="2"/>
      <c r="Y14" s="128" t="s">
        <v>63</v>
      </c>
      <c r="Z14" s="18"/>
      <c r="AA14" s="2"/>
      <c r="AB14" s="24"/>
      <c r="AC14" s="17"/>
      <c r="AD14" s="24"/>
      <c r="AE14" s="25"/>
      <c r="AF14" s="17"/>
      <c r="AG14" s="2"/>
      <c r="AH14" s="29"/>
    </row>
    <row r="15" spans="1:35" x14ac:dyDescent="0.25">
      <c r="A15" s="5">
        <v>44547</v>
      </c>
      <c r="B15" s="67"/>
      <c r="C15" s="18"/>
      <c r="D15" s="2"/>
      <c r="E15" s="24"/>
      <c r="F15" s="2"/>
      <c r="G15" s="24"/>
      <c r="H15" s="2"/>
      <c r="I15" s="107"/>
      <c r="J15" s="2"/>
      <c r="K15" s="107"/>
      <c r="L15" s="2"/>
      <c r="M15" s="107"/>
      <c r="N15" s="107"/>
      <c r="O15" s="114">
        <v>65182</v>
      </c>
      <c r="P15" s="17"/>
      <c r="Q15" s="18"/>
      <c r="R15" s="114"/>
      <c r="S15" s="17"/>
      <c r="T15" s="17"/>
      <c r="U15" s="2"/>
      <c r="V15" s="17"/>
      <c r="W15" s="18"/>
      <c r="X15" s="2"/>
      <c r="Y15" s="128" t="s">
        <v>63</v>
      </c>
      <c r="Z15" s="18"/>
      <c r="AA15" s="2"/>
      <c r="AB15" s="24"/>
      <c r="AC15" s="17"/>
      <c r="AD15" s="24"/>
      <c r="AE15" s="25"/>
      <c r="AF15" s="17"/>
      <c r="AG15" s="2"/>
      <c r="AH15" s="29"/>
    </row>
    <row r="16" spans="1:35" s="60" customFormat="1" x14ac:dyDescent="0.25">
      <c r="A16" s="62">
        <v>44561</v>
      </c>
      <c r="B16" s="70">
        <v>9.99</v>
      </c>
      <c r="C16" s="18"/>
      <c r="D16" s="10">
        <v>0.1</v>
      </c>
      <c r="E16" s="24"/>
      <c r="F16" s="10">
        <v>29.1</v>
      </c>
      <c r="G16" s="24">
        <f>F16-F13</f>
        <v>9.6990000000000016</v>
      </c>
      <c r="H16" s="10">
        <v>0.4</v>
      </c>
      <c r="I16" s="107"/>
      <c r="J16" s="10">
        <v>37.25</v>
      </c>
      <c r="K16" s="107">
        <f>J16-J13</f>
        <v>7.8500000000000014</v>
      </c>
      <c r="L16" s="10">
        <v>23.85</v>
      </c>
      <c r="M16" s="107">
        <f>L16-L13</f>
        <v>6.25</v>
      </c>
      <c r="N16" s="107">
        <f>G16-M16</f>
        <v>3.4490000000000016</v>
      </c>
      <c r="O16" s="115"/>
      <c r="P16" s="17"/>
      <c r="Q16" s="18"/>
      <c r="R16" s="115"/>
      <c r="S16" s="17"/>
      <c r="T16" s="17"/>
      <c r="U16" s="10">
        <v>32491</v>
      </c>
      <c r="V16" s="17"/>
      <c r="W16" s="18"/>
      <c r="X16" s="10">
        <v>9717</v>
      </c>
      <c r="Y16" s="128">
        <f>(X16-X9)/197</f>
        <v>9.7360406091370564</v>
      </c>
      <c r="Z16" s="18"/>
      <c r="AA16" s="10">
        <v>699</v>
      </c>
      <c r="AB16" s="24"/>
      <c r="AC16" s="17"/>
      <c r="AD16" s="24"/>
      <c r="AE16" s="63"/>
      <c r="AF16" s="17"/>
      <c r="AG16" s="10"/>
      <c r="AH16" s="57"/>
      <c r="AI16" s="60">
        <f>187*9.7</f>
        <v>1813.8999999999999</v>
      </c>
    </row>
    <row r="17" spans="1:34" s="60" customFormat="1" x14ac:dyDescent="0.25">
      <c r="A17" s="32" t="s">
        <v>76</v>
      </c>
      <c r="B17" s="66"/>
      <c r="C17" s="34"/>
      <c r="D17" s="33"/>
      <c r="E17" s="66"/>
      <c r="F17" s="33"/>
      <c r="G17" s="66">
        <f>F16-F13</f>
        <v>9.6990000000000016</v>
      </c>
      <c r="H17" s="33"/>
      <c r="I17" s="66"/>
      <c r="J17" s="33"/>
      <c r="K17" s="66">
        <f>J16-J13</f>
        <v>7.8500000000000014</v>
      </c>
      <c r="L17" s="33"/>
      <c r="M17" s="66">
        <f>L16-L13</f>
        <v>6.25</v>
      </c>
      <c r="N17" s="66">
        <f>G16-M16</f>
        <v>3.4490000000000016</v>
      </c>
      <c r="O17" s="116"/>
      <c r="P17" s="33"/>
      <c r="Q17" s="34"/>
      <c r="R17" s="116"/>
      <c r="S17" s="33"/>
      <c r="T17" s="33"/>
      <c r="U17" s="33"/>
      <c r="V17" s="33"/>
      <c r="W17" s="34"/>
      <c r="X17" s="33"/>
      <c r="Y17" s="129"/>
      <c r="Z17" s="34"/>
      <c r="AA17" s="33"/>
      <c r="AB17" s="61"/>
      <c r="AC17" s="33"/>
      <c r="AD17" s="61"/>
      <c r="AE17" s="61"/>
      <c r="AF17" s="33"/>
      <c r="AG17" s="33"/>
      <c r="AH17" s="57"/>
    </row>
    <row r="18" spans="1:34" s="60" customFormat="1" x14ac:dyDescent="0.25">
      <c r="A18" s="98">
        <v>44562</v>
      </c>
      <c r="B18" s="99">
        <v>9.99</v>
      </c>
      <c r="C18" s="100"/>
      <c r="D18" s="101">
        <v>0.1</v>
      </c>
      <c r="E18" s="102"/>
      <c r="F18" s="101">
        <v>29.1</v>
      </c>
      <c r="G18" s="102">
        <v>9.6999999999999993</v>
      </c>
      <c r="H18" s="101">
        <v>0.4</v>
      </c>
      <c r="I18" s="99"/>
      <c r="J18" s="101">
        <v>37.25</v>
      </c>
      <c r="K18" s="99" t="s">
        <v>63</v>
      </c>
      <c r="L18" s="101">
        <v>23.85</v>
      </c>
      <c r="M18" s="99" t="s">
        <v>63</v>
      </c>
      <c r="N18" s="99" t="s">
        <v>63</v>
      </c>
      <c r="O18" s="117">
        <v>65182</v>
      </c>
      <c r="P18" s="101"/>
      <c r="Q18" s="100"/>
      <c r="R18" s="117"/>
      <c r="S18" s="101"/>
      <c r="T18" s="101"/>
      <c r="U18" s="101">
        <v>32491</v>
      </c>
      <c r="V18" s="101"/>
      <c r="W18" s="100"/>
      <c r="X18" s="101">
        <v>9717</v>
      </c>
      <c r="Y18" s="130"/>
      <c r="Z18" s="100"/>
      <c r="AA18" s="101">
        <v>699</v>
      </c>
      <c r="AB18" s="102"/>
      <c r="AC18" s="101"/>
      <c r="AD18" s="102"/>
      <c r="AE18" s="102"/>
      <c r="AF18" s="101"/>
      <c r="AG18" s="101"/>
      <c r="AH18" s="57"/>
    </row>
    <row r="19" spans="1:34" s="60" customFormat="1" x14ac:dyDescent="0.25">
      <c r="A19" s="62"/>
      <c r="B19" s="70"/>
      <c r="C19" s="18"/>
      <c r="D19" s="10"/>
      <c r="E19" s="24"/>
      <c r="F19" s="10"/>
      <c r="G19" s="24"/>
      <c r="H19" s="10"/>
      <c r="I19" s="107"/>
      <c r="J19" s="10"/>
      <c r="K19" s="107"/>
      <c r="L19" s="10"/>
      <c r="M19" s="107"/>
      <c r="N19" s="107"/>
      <c r="O19" s="115"/>
      <c r="P19" s="17"/>
      <c r="Q19" s="18"/>
      <c r="R19" s="115"/>
      <c r="S19" s="17"/>
      <c r="T19" s="17"/>
      <c r="U19" s="10"/>
      <c r="V19" s="17"/>
      <c r="W19" s="18"/>
      <c r="X19" s="10"/>
      <c r="Y19" s="108"/>
      <c r="Z19" s="18"/>
      <c r="AA19" s="10"/>
      <c r="AB19" s="24"/>
      <c r="AC19" s="17"/>
      <c r="AD19" s="24"/>
      <c r="AE19" s="63"/>
      <c r="AF19" s="17"/>
      <c r="AG19" s="10"/>
      <c r="AH19" s="57"/>
    </row>
    <row r="20" spans="1:34" x14ac:dyDescent="0.25">
      <c r="A20" s="5">
        <v>44252</v>
      </c>
      <c r="B20" s="67">
        <v>13.5</v>
      </c>
      <c r="C20" s="18"/>
      <c r="D20" s="2">
        <v>2.9</v>
      </c>
      <c r="E20" s="107"/>
      <c r="F20" s="2">
        <v>40.299999999999997</v>
      </c>
      <c r="G20" s="107"/>
      <c r="H20" s="2">
        <v>0.88</v>
      </c>
      <c r="I20" s="107"/>
      <c r="J20" s="2">
        <v>47.75</v>
      </c>
      <c r="K20" s="107"/>
      <c r="L20" s="2">
        <v>31.25</v>
      </c>
      <c r="M20" s="107"/>
      <c r="N20" s="107" t="s">
        <v>63</v>
      </c>
      <c r="O20" s="114">
        <v>66891</v>
      </c>
      <c r="P20" s="17"/>
      <c r="Q20" s="18"/>
      <c r="R20" s="114">
        <v>826</v>
      </c>
      <c r="S20" s="17"/>
      <c r="T20" s="17"/>
      <c r="U20" s="2">
        <v>32916</v>
      </c>
      <c r="V20" s="17"/>
      <c r="W20" s="18"/>
      <c r="X20" s="2">
        <v>10875</v>
      </c>
      <c r="Y20" s="108"/>
      <c r="Z20" s="18"/>
      <c r="AA20" s="2">
        <v>746.8</v>
      </c>
      <c r="AB20" s="24"/>
      <c r="AC20" s="17"/>
      <c r="AD20" s="24"/>
      <c r="AE20" s="25"/>
      <c r="AF20" s="17"/>
      <c r="AG20" s="2"/>
      <c r="AH20" s="29"/>
    </row>
    <row r="21" spans="1:34" x14ac:dyDescent="0.25">
      <c r="A21" s="5">
        <v>44618</v>
      </c>
      <c r="B21" s="67">
        <v>13.6</v>
      </c>
      <c r="C21" s="18">
        <f>B21-B20</f>
        <v>9.9999999999999645E-2</v>
      </c>
      <c r="D21" s="2">
        <v>2.9</v>
      </c>
      <c r="E21" s="107">
        <f>D21-D20</f>
        <v>0</v>
      </c>
      <c r="F21" s="2">
        <v>40.5</v>
      </c>
      <c r="G21" s="107">
        <f>F21-F20</f>
        <v>0.20000000000000284</v>
      </c>
      <c r="H21" s="2">
        <v>0.88</v>
      </c>
      <c r="I21" s="107">
        <f>H21-H20</f>
        <v>0</v>
      </c>
      <c r="J21" s="2">
        <v>47.9</v>
      </c>
      <c r="K21" s="107">
        <f t="shared" ref="K21:K41" si="0">J21-J20</f>
        <v>0.14999999999999858</v>
      </c>
      <c r="L21" s="2">
        <v>31.4</v>
      </c>
      <c r="M21" s="107">
        <f t="shared" ref="M21:M59" si="1">L21-L20</f>
        <v>0.14999999999999858</v>
      </c>
      <c r="N21" s="107">
        <f>G21-M21</f>
        <v>5.0000000000004263E-2</v>
      </c>
      <c r="O21" s="114">
        <v>66910</v>
      </c>
      <c r="P21" s="17">
        <f>O21-O20</f>
        <v>19</v>
      </c>
      <c r="Q21" s="18">
        <f>P21*C2</f>
        <v>5.5043000000000006</v>
      </c>
      <c r="R21" s="114">
        <v>828</v>
      </c>
      <c r="S21" s="17">
        <f t="shared" ref="S21:S45" si="2">R21-R20</f>
        <v>2</v>
      </c>
      <c r="T21" s="17"/>
      <c r="U21" s="10">
        <v>32921</v>
      </c>
      <c r="V21" s="17">
        <f t="shared" ref="V21:V29" si="3">U21-U20</f>
        <v>5</v>
      </c>
      <c r="W21" s="18">
        <f>V21*C3</f>
        <v>1.5</v>
      </c>
      <c r="X21" s="10">
        <v>10892</v>
      </c>
      <c r="Y21" s="108">
        <f t="shared" ref="Y21:Y29" si="4">X21-X20</f>
        <v>17</v>
      </c>
      <c r="Z21" s="18">
        <f>Y21*C4*G4</f>
        <v>9.315949778434268</v>
      </c>
      <c r="AA21" s="2">
        <v>747.2</v>
      </c>
      <c r="AB21" s="24">
        <f t="shared" ref="AB21:AB39" si="5">AA21-AA20</f>
        <v>0.40000000000009095</v>
      </c>
      <c r="AC21" s="17"/>
      <c r="AD21" s="24"/>
      <c r="AE21" s="25"/>
      <c r="AF21" s="17"/>
      <c r="AG21" s="2">
        <v>3.8</v>
      </c>
      <c r="AH21" s="29"/>
    </row>
    <row r="22" spans="1:34" x14ac:dyDescent="0.25">
      <c r="A22" s="5">
        <v>44619</v>
      </c>
      <c r="B22" s="67">
        <v>13.6</v>
      </c>
      <c r="C22" s="18">
        <f t="shared" ref="C22:C34" si="6">B22-B21</f>
        <v>0</v>
      </c>
      <c r="D22" s="2">
        <v>2.9</v>
      </c>
      <c r="E22" s="107">
        <f t="shared" ref="E22:E86" si="7">D22-D21</f>
        <v>0</v>
      </c>
      <c r="F22" s="2">
        <v>40.6</v>
      </c>
      <c r="G22" s="107">
        <f t="shared" ref="G22:G86" si="8">F22-F21</f>
        <v>0.10000000000000142</v>
      </c>
      <c r="H22" s="2">
        <v>0.88</v>
      </c>
      <c r="I22" s="107">
        <f t="shared" ref="I22:I86" si="9">H22-H21</f>
        <v>0</v>
      </c>
      <c r="J22" s="2">
        <v>48</v>
      </c>
      <c r="K22" s="107">
        <f t="shared" si="0"/>
        <v>0.10000000000000142</v>
      </c>
      <c r="L22" s="2">
        <v>31.5</v>
      </c>
      <c r="M22" s="107">
        <f t="shared" si="1"/>
        <v>0.10000000000000142</v>
      </c>
      <c r="N22" s="107">
        <f t="shared" ref="N22:N23" si="10">G22-M22</f>
        <v>0</v>
      </c>
      <c r="O22" s="114">
        <v>66936</v>
      </c>
      <c r="P22" s="17">
        <f>O22-O21</f>
        <v>26</v>
      </c>
      <c r="Q22" s="18">
        <f>P22*C3</f>
        <v>7.8</v>
      </c>
      <c r="R22" s="114">
        <v>830</v>
      </c>
      <c r="S22" s="17">
        <f t="shared" si="2"/>
        <v>2</v>
      </c>
      <c r="T22" s="17"/>
      <c r="U22" s="2">
        <v>32925</v>
      </c>
      <c r="V22" s="17">
        <f t="shared" si="3"/>
        <v>4</v>
      </c>
      <c r="W22" s="18">
        <f>V22*C3</f>
        <v>1.2</v>
      </c>
      <c r="X22" s="10">
        <v>10910</v>
      </c>
      <c r="Y22" s="108">
        <f t="shared" si="4"/>
        <v>18</v>
      </c>
      <c r="Z22" s="18">
        <f>Y22*C4*G4</f>
        <v>9.8639468242245183</v>
      </c>
      <c r="AA22" s="2">
        <v>747.6</v>
      </c>
      <c r="AB22" s="24">
        <f t="shared" si="5"/>
        <v>0.39999999999997726</v>
      </c>
      <c r="AC22" s="17"/>
      <c r="AD22" s="24">
        <f>C22+E22+G22+I22+K22+M22</f>
        <v>0.30000000000000426</v>
      </c>
      <c r="AE22" s="25"/>
      <c r="AF22" s="17"/>
      <c r="AG22" s="2">
        <v>2</v>
      </c>
      <c r="AH22" s="29"/>
    </row>
    <row r="23" spans="1:34" x14ac:dyDescent="0.25">
      <c r="A23" s="5">
        <v>44620</v>
      </c>
      <c r="B23" s="67">
        <v>13.6</v>
      </c>
      <c r="C23" s="18">
        <f t="shared" si="6"/>
        <v>0</v>
      </c>
      <c r="D23" s="2">
        <v>2.9</v>
      </c>
      <c r="E23" s="107">
        <f t="shared" si="7"/>
        <v>0</v>
      </c>
      <c r="F23" s="2">
        <v>40.700000000000003</v>
      </c>
      <c r="G23" s="107">
        <f t="shared" si="8"/>
        <v>0.10000000000000142</v>
      </c>
      <c r="H23" s="2">
        <v>0.89</v>
      </c>
      <c r="I23" s="107">
        <f t="shared" si="9"/>
        <v>1.0000000000000009E-2</v>
      </c>
      <c r="J23" s="2">
        <v>48.2</v>
      </c>
      <c r="K23" s="107">
        <f t="shared" si="0"/>
        <v>0.20000000000000284</v>
      </c>
      <c r="L23" s="2">
        <v>31.6</v>
      </c>
      <c r="M23" s="107">
        <f t="shared" si="1"/>
        <v>0.10000000000000142</v>
      </c>
      <c r="N23" s="107">
        <f t="shared" si="10"/>
        <v>0</v>
      </c>
      <c r="O23" s="114">
        <v>66962</v>
      </c>
      <c r="P23" s="17">
        <f>O23-O22</f>
        <v>26</v>
      </c>
      <c r="Q23" s="18">
        <f>P23*C2</f>
        <v>7.5322000000000005</v>
      </c>
      <c r="R23" s="114">
        <v>834</v>
      </c>
      <c r="S23" s="17">
        <f t="shared" si="2"/>
        <v>4</v>
      </c>
      <c r="T23" s="17"/>
      <c r="U23" s="2">
        <v>32927</v>
      </c>
      <c r="V23" s="17">
        <f t="shared" si="3"/>
        <v>2</v>
      </c>
      <c r="W23" s="18">
        <f>V23*C3</f>
        <v>0.6</v>
      </c>
      <c r="X23" s="2">
        <v>10932</v>
      </c>
      <c r="Y23" s="108">
        <f t="shared" si="4"/>
        <v>22</v>
      </c>
      <c r="Z23" s="18">
        <f>Y23*C4*G4</f>
        <v>12.055935007385523</v>
      </c>
      <c r="AA23" s="2">
        <v>748.4</v>
      </c>
      <c r="AB23" s="24">
        <f t="shared" si="5"/>
        <v>0.79999999999995453</v>
      </c>
      <c r="AC23" s="17"/>
      <c r="AD23" s="24">
        <f t="shared" ref="AD23:AD34" si="11">C23+E23+G23+I23+K23+M23</f>
        <v>0.41000000000000569</v>
      </c>
      <c r="AE23" s="25"/>
      <c r="AF23" s="17"/>
      <c r="AG23" s="2">
        <v>1</v>
      </c>
      <c r="AH23" s="29"/>
    </row>
    <row r="24" spans="1:34" s="60" customFormat="1" x14ac:dyDescent="0.25">
      <c r="A24" s="32" t="s">
        <v>76</v>
      </c>
      <c r="B24" s="66"/>
      <c r="C24" s="34"/>
      <c r="D24" s="33"/>
      <c r="E24" s="66"/>
      <c r="F24" s="33"/>
      <c r="G24" s="66"/>
      <c r="H24" s="33"/>
      <c r="I24" s="66"/>
      <c r="J24" s="33"/>
      <c r="K24" s="66"/>
      <c r="L24" s="33"/>
      <c r="M24" s="66"/>
      <c r="N24" s="66"/>
      <c r="O24" s="116"/>
      <c r="P24" s="33"/>
      <c r="Q24" s="34"/>
      <c r="R24" s="116"/>
      <c r="S24" s="33"/>
      <c r="T24" s="33"/>
      <c r="U24" s="33"/>
      <c r="V24" s="33"/>
      <c r="W24" s="34"/>
      <c r="X24" s="33"/>
      <c r="Y24" s="129"/>
      <c r="Z24" s="34"/>
      <c r="AA24" s="33"/>
      <c r="AB24" s="61"/>
      <c r="AC24" s="33"/>
      <c r="AD24" s="61"/>
      <c r="AE24" s="61"/>
      <c r="AF24" s="33"/>
      <c r="AG24" s="33"/>
      <c r="AH24" s="57"/>
    </row>
    <row r="25" spans="1:34" x14ac:dyDescent="0.25">
      <c r="A25" s="5">
        <v>44621</v>
      </c>
      <c r="B25" s="70">
        <v>13.6</v>
      </c>
      <c r="C25" s="18">
        <f>B25-B23</f>
        <v>0</v>
      </c>
      <c r="D25" s="10">
        <v>3</v>
      </c>
      <c r="E25" s="107">
        <f>D25-D23</f>
        <v>0.10000000000000009</v>
      </c>
      <c r="F25" s="10">
        <v>41.1</v>
      </c>
      <c r="G25" s="107">
        <f>F25-F23</f>
        <v>0.39999999999999858</v>
      </c>
      <c r="H25" s="10">
        <v>0.91</v>
      </c>
      <c r="I25" s="107">
        <f>H25-H23</f>
        <v>2.0000000000000018E-2</v>
      </c>
      <c r="J25" s="10">
        <v>48.4</v>
      </c>
      <c r="K25" s="107">
        <f>J25-J23</f>
        <v>0.19999999999999574</v>
      </c>
      <c r="L25" s="10">
        <v>31.9</v>
      </c>
      <c r="M25" s="107">
        <f>L25-L23</f>
        <v>0.29999999999999716</v>
      </c>
      <c r="N25" s="107">
        <f>G25-M25</f>
        <v>0.10000000000000142</v>
      </c>
      <c r="O25" s="115">
        <v>66979</v>
      </c>
      <c r="P25" s="17">
        <f>O25-O23</f>
        <v>17</v>
      </c>
      <c r="Q25" s="18">
        <f>P25*C2</f>
        <v>4.9249000000000001</v>
      </c>
      <c r="R25" s="115">
        <v>839</v>
      </c>
      <c r="S25" s="17">
        <f>R25-R23</f>
        <v>5</v>
      </c>
      <c r="T25" s="17"/>
      <c r="U25" s="10">
        <v>32928</v>
      </c>
      <c r="V25" s="17">
        <f>U25-U23</f>
        <v>1</v>
      </c>
      <c r="W25" s="18">
        <f>V25*C3</f>
        <v>0.3</v>
      </c>
      <c r="X25" s="10">
        <v>10953</v>
      </c>
      <c r="Y25" s="108">
        <f>X25-X23</f>
        <v>21</v>
      </c>
      <c r="Z25" s="18">
        <f>Y25*C5*G4</f>
        <v>20.546561299852289</v>
      </c>
      <c r="AA25" s="10">
        <v>749.2</v>
      </c>
      <c r="AB25" s="24">
        <f>AA25-AA23</f>
        <v>0.80000000000006821</v>
      </c>
      <c r="AC25" s="17"/>
      <c r="AD25" s="24">
        <f t="shared" si="11"/>
        <v>1.0199999999999916</v>
      </c>
      <c r="AE25" s="25"/>
      <c r="AF25" s="17"/>
      <c r="AG25" s="10">
        <v>1.7</v>
      </c>
      <c r="AH25" s="29"/>
    </row>
    <row r="26" spans="1:34" x14ac:dyDescent="0.25">
      <c r="A26" s="5">
        <v>44622</v>
      </c>
      <c r="B26" s="67">
        <v>13.6</v>
      </c>
      <c r="C26" s="18">
        <f t="shared" si="6"/>
        <v>0</v>
      </c>
      <c r="D26" s="2">
        <v>3</v>
      </c>
      <c r="E26" s="107">
        <f t="shared" si="7"/>
        <v>0</v>
      </c>
      <c r="F26" s="2">
        <v>41.3</v>
      </c>
      <c r="G26" s="107">
        <f t="shared" si="8"/>
        <v>0.19999999999999574</v>
      </c>
      <c r="H26" s="2">
        <v>0.92</v>
      </c>
      <c r="I26" s="107">
        <f t="shared" si="9"/>
        <v>1.0000000000000009E-2</v>
      </c>
      <c r="J26" s="2">
        <v>48.6</v>
      </c>
      <c r="K26" s="107">
        <f t="shared" si="0"/>
        <v>0.20000000000000284</v>
      </c>
      <c r="L26" s="2">
        <v>32</v>
      </c>
      <c r="M26" s="107">
        <f t="shared" si="1"/>
        <v>0.10000000000000142</v>
      </c>
      <c r="N26" s="107">
        <f t="shared" ref="N26:N55" si="12">G26-M26</f>
        <v>9.9999999999994316E-2</v>
      </c>
      <c r="O26" s="114">
        <v>67013</v>
      </c>
      <c r="P26" s="17">
        <f t="shared" ref="P26:P31" si="13">O26-O25</f>
        <v>34</v>
      </c>
      <c r="Q26" s="18">
        <f>P26*C2</f>
        <v>9.8498000000000001</v>
      </c>
      <c r="R26" s="114">
        <v>844</v>
      </c>
      <c r="S26" s="17">
        <f t="shared" si="2"/>
        <v>5</v>
      </c>
      <c r="T26" s="17"/>
      <c r="U26" s="2">
        <v>32931</v>
      </c>
      <c r="V26" s="17">
        <f t="shared" si="3"/>
        <v>3</v>
      </c>
      <c r="W26" s="18">
        <f>V26*C3</f>
        <v>0.89999999999999991</v>
      </c>
      <c r="X26" s="2">
        <v>10979</v>
      </c>
      <c r="Y26" s="108">
        <f t="shared" si="4"/>
        <v>26</v>
      </c>
      <c r="Z26" s="18">
        <f>Y26*C5*G4</f>
        <v>25.438599704579026</v>
      </c>
      <c r="AA26" s="2">
        <v>750</v>
      </c>
      <c r="AB26" s="24">
        <f t="shared" si="5"/>
        <v>0.79999999999995453</v>
      </c>
      <c r="AC26" s="17"/>
      <c r="AD26" s="24">
        <f t="shared" si="11"/>
        <v>0.51</v>
      </c>
      <c r="AE26" s="25"/>
      <c r="AF26" s="17"/>
      <c r="AG26" s="10">
        <v>1.6</v>
      </c>
      <c r="AH26" s="29"/>
    </row>
    <row r="27" spans="1:34" x14ac:dyDescent="0.25">
      <c r="A27" s="5">
        <v>44623</v>
      </c>
      <c r="B27" s="67">
        <v>13.6</v>
      </c>
      <c r="C27" s="18">
        <f t="shared" si="6"/>
        <v>0</v>
      </c>
      <c r="D27" s="2">
        <v>3</v>
      </c>
      <c r="E27" s="107">
        <f t="shared" si="7"/>
        <v>0</v>
      </c>
      <c r="F27" s="2">
        <v>41.4</v>
      </c>
      <c r="G27" s="107">
        <f t="shared" si="8"/>
        <v>0.10000000000000142</v>
      </c>
      <c r="H27" s="2">
        <v>0.92</v>
      </c>
      <c r="I27" s="107">
        <f t="shared" si="9"/>
        <v>0</v>
      </c>
      <c r="J27" s="2">
        <v>48.7</v>
      </c>
      <c r="K27" s="107">
        <f t="shared" si="0"/>
        <v>0.10000000000000142</v>
      </c>
      <c r="L27" s="2">
        <v>32</v>
      </c>
      <c r="M27" s="107">
        <f t="shared" si="1"/>
        <v>0</v>
      </c>
      <c r="N27" s="107">
        <f t="shared" si="12"/>
        <v>0.10000000000000142</v>
      </c>
      <c r="O27" s="114">
        <v>67031</v>
      </c>
      <c r="P27" s="17">
        <f t="shared" si="13"/>
        <v>18</v>
      </c>
      <c r="Q27" s="18">
        <f t="shared" ref="Q27:Q39" si="14">P27*$C$2</f>
        <v>5.2145999999999999</v>
      </c>
      <c r="R27" s="114">
        <v>848</v>
      </c>
      <c r="S27" s="17">
        <f t="shared" si="2"/>
        <v>4</v>
      </c>
      <c r="T27" s="17"/>
      <c r="U27" s="2">
        <v>32933</v>
      </c>
      <c r="V27" s="17">
        <f t="shared" si="3"/>
        <v>2</v>
      </c>
      <c r="W27" s="18">
        <f t="shared" ref="W27:W39" si="15">V27*$C$3</f>
        <v>0.6</v>
      </c>
      <c r="X27" s="2">
        <v>10994</v>
      </c>
      <c r="Y27" s="108">
        <f t="shared" si="4"/>
        <v>15</v>
      </c>
      <c r="Z27" s="18">
        <f t="shared" ref="Z27:Z39" si="16">Y27*$C$5*$G$4</f>
        <v>14.676115214180205</v>
      </c>
      <c r="AA27" s="2">
        <v>750.3</v>
      </c>
      <c r="AB27" s="24">
        <f t="shared" si="5"/>
        <v>0.29999999999995453</v>
      </c>
      <c r="AC27" s="17"/>
      <c r="AD27" s="24">
        <f t="shared" si="11"/>
        <v>0.20000000000000284</v>
      </c>
      <c r="AE27" s="25"/>
      <c r="AF27" s="17"/>
      <c r="AG27" s="10">
        <v>0.2</v>
      </c>
      <c r="AH27" s="29"/>
    </row>
    <row r="28" spans="1:34" x14ac:dyDescent="0.25">
      <c r="A28" s="5">
        <v>44624</v>
      </c>
      <c r="B28" s="67">
        <v>13.6</v>
      </c>
      <c r="C28" s="18">
        <f t="shared" si="6"/>
        <v>0</v>
      </c>
      <c r="D28" s="2">
        <v>3</v>
      </c>
      <c r="E28" s="107">
        <f t="shared" si="7"/>
        <v>0</v>
      </c>
      <c r="F28" s="2">
        <v>41.7</v>
      </c>
      <c r="G28" s="107">
        <f t="shared" si="8"/>
        <v>0.30000000000000426</v>
      </c>
      <c r="H28" s="2">
        <v>0.93</v>
      </c>
      <c r="I28" s="107">
        <f t="shared" si="9"/>
        <v>1.0000000000000009E-2</v>
      </c>
      <c r="J28" s="2">
        <v>48.8</v>
      </c>
      <c r="K28" s="107">
        <f t="shared" si="0"/>
        <v>9.9999999999994316E-2</v>
      </c>
      <c r="L28" s="2">
        <v>32</v>
      </c>
      <c r="M28" s="107">
        <f t="shared" si="1"/>
        <v>0</v>
      </c>
      <c r="N28" s="107">
        <f t="shared" si="12"/>
        <v>0.30000000000000426</v>
      </c>
      <c r="O28" s="114">
        <v>67048</v>
      </c>
      <c r="P28" s="17">
        <f t="shared" si="13"/>
        <v>17</v>
      </c>
      <c r="Q28" s="18">
        <f t="shared" si="14"/>
        <v>4.9249000000000001</v>
      </c>
      <c r="R28" s="114">
        <v>852</v>
      </c>
      <c r="S28" s="17">
        <f t="shared" si="2"/>
        <v>4</v>
      </c>
      <c r="T28" s="17"/>
      <c r="U28" s="2">
        <v>32934</v>
      </c>
      <c r="V28" s="17">
        <f t="shared" si="3"/>
        <v>1</v>
      </c>
      <c r="W28" s="18">
        <f t="shared" si="15"/>
        <v>0.3</v>
      </c>
      <c r="X28" s="2">
        <v>11015</v>
      </c>
      <c r="Y28" s="108">
        <f t="shared" si="4"/>
        <v>21</v>
      </c>
      <c r="Z28" s="18">
        <f t="shared" si="16"/>
        <v>20.546561299852289</v>
      </c>
      <c r="AA28" s="2">
        <v>751</v>
      </c>
      <c r="AB28" s="24">
        <f t="shared" si="5"/>
        <v>0.70000000000004547</v>
      </c>
      <c r="AC28" s="17"/>
      <c r="AD28" s="24">
        <f t="shared" si="11"/>
        <v>0.40999999999999859</v>
      </c>
      <c r="AE28" s="25"/>
      <c r="AF28" s="17"/>
      <c r="AG28" s="10">
        <v>0.5</v>
      </c>
      <c r="AH28" s="29"/>
    </row>
    <row r="29" spans="1:34" x14ac:dyDescent="0.25">
      <c r="A29" s="5">
        <v>44625</v>
      </c>
      <c r="B29" s="67">
        <v>13.6</v>
      </c>
      <c r="C29" s="18">
        <f t="shared" si="6"/>
        <v>0</v>
      </c>
      <c r="D29" s="2">
        <v>3</v>
      </c>
      <c r="E29" s="107">
        <f t="shared" si="7"/>
        <v>0</v>
      </c>
      <c r="F29" s="2">
        <v>42</v>
      </c>
      <c r="G29" s="107">
        <f t="shared" si="8"/>
        <v>0.29999999999999716</v>
      </c>
      <c r="H29" s="2">
        <v>0.93</v>
      </c>
      <c r="I29" s="107">
        <f t="shared" si="9"/>
        <v>0</v>
      </c>
      <c r="J29" s="2">
        <v>49</v>
      </c>
      <c r="K29" s="107">
        <f t="shared" si="0"/>
        <v>0.20000000000000284</v>
      </c>
      <c r="L29" s="2">
        <v>32</v>
      </c>
      <c r="M29" s="107">
        <f t="shared" si="1"/>
        <v>0</v>
      </c>
      <c r="N29" s="107">
        <f t="shared" si="12"/>
        <v>0.29999999999999716</v>
      </c>
      <c r="O29" s="114">
        <v>67063</v>
      </c>
      <c r="P29" s="17">
        <f t="shared" si="13"/>
        <v>15</v>
      </c>
      <c r="Q29" s="18">
        <f t="shared" si="14"/>
        <v>4.3455000000000004</v>
      </c>
      <c r="R29" s="114">
        <v>856</v>
      </c>
      <c r="S29" s="17">
        <f t="shared" si="2"/>
        <v>4</v>
      </c>
      <c r="T29" s="17"/>
      <c r="U29" s="2">
        <v>32936</v>
      </c>
      <c r="V29" s="17">
        <f t="shared" si="3"/>
        <v>2</v>
      </c>
      <c r="W29" s="18">
        <f t="shared" si="15"/>
        <v>0.6</v>
      </c>
      <c r="X29" s="2">
        <v>11038</v>
      </c>
      <c r="Y29" s="108">
        <f t="shared" si="4"/>
        <v>23</v>
      </c>
      <c r="Z29" s="18">
        <f t="shared" si="16"/>
        <v>22.503376661742983</v>
      </c>
      <c r="AA29" s="2">
        <v>751.68</v>
      </c>
      <c r="AB29" s="24">
        <f t="shared" si="5"/>
        <v>0.67999999999994998</v>
      </c>
      <c r="AC29" s="17"/>
      <c r="AD29" s="24">
        <f t="shared" si="11"/>
        <v>0.5</v>
      </c>
      <c r="AE29" s="25"/>
      <c r="AF29" s="17"/>
      <c r="AG29" s="10">
        <v>0.1</v>
      </c>
      <c r="AH29" s="29"/>
    </row>
    <row r="30" spans="1:34" x14ac:dyDescent="0.25">
      <c r="A30" s="5">
        <v>44626</v>
      </c>
      <c r="B30" s="70">
        <v>13.6</v>
      </c>
      <c r="C30" s="18">
        <f t="shared" si="6"/>
        <v>0</v>
      </c>
      <c r="D30" s="10">
        <v>3.1</v>
      </c>
      <c r="E30" s="107">
        <f t="shared" si="7"/>
        <v>0.10000000000000009</v>
      </c>
      <c r="F30" s="10">
        <v>42.5</v>
      </c>
      <c r="G30" s="107">
        <f t="shared" si="8"/>
        <v>0.5</v>
      </c>
      <c r="H30" s="10">
        <v>0.95</v>
      </c>
      <c r="I30" s="107">
        <f t="shared" si="9"/>
        <v>1.9999999999999907E-2</v>
      </c>
      <c r="J30" s="10">
        <v>49.2</v>
      </c>
      <c r="K30" s="107">
        <f t="shared" si="0"/>
        <v>0.20000000000000284</v>
      </c>
      <c r="L30" s="10">
        <v>32.5</v>
      </c>
      <c r="M30" s="107">
        <f t="shared" si="1"/>
        <v>0.5</v>
      </c>
      <c r="N30" s="107">
        <f t="shared" si="12"/>
        <v>0</v>
      </c>
      <c r="O30" s="115">
        <v>67088</v>
      </c>
      <c r="P30" s="17">
        <f t="shared" si="13"/>
        <v>25</v>
      </c>
      <c r="Q30" s="18">
        <f t="shared" si="14"/>
        <v>7.2425000000000006</v>
      </c>
      <c r="R30" s="115">
        <v>862</v>
      </c>
      <c r="S30" s="17">
        <f t="shared" si="2"/>
        <v>6</v>
      </c>
      <c r="T30" s="17"/>
      <c r="U30" s="10">
        <v>32937</v>
      </c>
      <c r="V30" s="17">
        <f t="shared" ref="V30:V39" si="17">U30-U29</f>
        <v>1</v>
      </c>
      <c r="W30" s="18">
        <f t="shared" si="15"/>
        <v>0.3</v>
      </c>
      <c r="X30" s="10">
        <v>11056</v>
      </c>
      <c r="Y30" s="108">
        <f t="shared" ref="Y30:Y39" si="18">X30-X29</f>
        <v>18</v>
      </c>
      <c r="Z30" s="18">
        <f t="shared" si="16"/>
        <v>17.611338257016246</v>
      </c>
      <c r="AA30" s="10">
        <v>752.3</v>
      </c>
      <c r="AB30" s="24">
        <f t="shared" si="5"/>
        <v>0.62000000000000455</v>
      </c>
      <c r="AC30" s="17"/>
      <c r="AD30" s="24">
        <f t="shared" si="11"/>
        <v>1.3200000000000029</v>
      </c>
      <c r="AE30" s="25"/>
      <c r="AF30" s="17"/>
      <c r="AG30" s="10">
        <v>0.8</v>
      </c>
      <c r="AH30" s="29"/>
    </row>
    <row r="31" spans="1:34" x14ac:dyDescent="0.25">
      <c r="A31" s="5">
        <v>44627</v>
      </c>
      <c r="B31" s="67">
        <v>13.6</v>
      </c>
      <c r="C31" s="18">
        <f t="shared" si="6"/>
        <v>0</v>
      </c>
      <c r="D31" s="2">
        <v>3.2</v>
      </c>
      <c r="E31" s="107">
        <f t="shared" si="7"/>
        <v>0.10000000000000009</v>
      </c>
      <c r="F31" s="2">
        <v>42.6</v>
      </c>
      <c r="G31" s="107">
        <f t="shared" si="8"/>
        <v>0.10000000000000142</v>
      </c>
      <c r="H31" s="2">
        <v>0.97</v>
      </c>
      <c r="I31" s="107">
        <f t="shared" si="9"/>
        <v>2.0000000000000018E-2</v>
      </c>
      <c r="J31" s="2">
        <v>49.4</v>
      </c>
      <c r="K31" s="107">
        <f t="shared" si="0"/>
        <v>0.19999999999999574</v>
      </c>
      <c r="L31" s="2">
        <v>32.6</v>
      </c>
      <c r="M31" s="107">
        <f t="shared" si="1"/>
        <v>0.10000000000000142</v>
      </c>
      <c r="N31" s="107">
        <f t="shared" si="12"/>
        <v>0</v>
      </c>
      <c r="O31" s="114">
        <v>67102</v>
      </c>
      <c r="P31" s="17">
        <f t="shared" si="13"/>
        <v>14</v>
      </c>
      <c r="Q31" s="18">
        <f t="shared" si="14"/>
        <v>4.0558000000000005</v>
      </c>
      <c r="R31" s="114">
        <v>867</v>
      </c>
      <c r="S31" s="17">
        <f t="shared" si="2"/>
        <v>5</v>
      </c>
      <c r="T31" s="17"/>
      <c r="U31" s="2">
        <v>32938</v>
      </c>
      <c r="V31" s="17">
        <f t="shared" si="17"/>
        <v>1</v>
      </c>
      <c r="W31" s="18">
        <f t="shared" si="15"/>
        <v>0.3</v>
      </c>
      <c r="X31" s="2">
        <v>11080</v>
      </c>
      <c r="Y31" s="108">
        <f t="shared" si="18"/>
        <v>24</v>
      </c>
      <c r="Z31" s="18">
        <f t="shared" si="16"/>
        <v>23.481784342688329</v>
      </c>
      <c r="AA31" s="2">
        <v>752.9</v>
      </c>
      <c r="AB31" s="24">
        <f t="shared" si="5"/>
        <v>0.60000000000002274</v>
      </c>
      <c r="AC31" s="17"/>
      <c r="AD31" s="24">
        <f t="shared" si="11"/>
        <v>0.51999999999999869</v>
      </c>
      <c r="AE31" s="25"/>
      <c r="AF31" s="17"/>
      <c r="AG31" s="10">
        <v>0.7</v>
      </c>
      <c r="AH31" s="29"/>
    </row>
    <row r="32" spans="1:34" x14ac:dyDescent="0.25">
      <c r="A32" s="5">
        <v>44628</v>
      </c>
      <c r="B32" s="67">
        <v>13.6</v>
      </c>
      <c r="C32" s="18">
        <f t="shared" si="6"/>
        <v>0</v>
      </c>
      <c r="D32" s="2">
        <v>3.22</v>
      </c>
      <c r="E32" s="107">
        <f t="shared" si="7"/>
        <v>2.0000000000000018E-2</v>
      </c>
      <c r="F32" s="2">
        <v>42.7</v>
      </c>
      <c r="G32" s="107">
        <f t="shared" si="8"/>
        <v>0.10000000000000142</v>
      </c>
      <c r="H32" s="2">
        <v>0.98</v>
      </c>
      <c r="I32" s="107">
        <f t="shared" si="9"/>
        <v>1.0000000000000009E-2</v>
      </c>
      <c r="J32" s="2">
        <v>49.5</v>
      </c>
      <c r="K32" s="107">
        <f t="shared" si="0"/>
        <v>0.10000000000000142</v>
      </c>
      <c r="L32" s="2">
        <v>32.700000000000003</v>
      </c>
      <c r="M32" s="107">
        <f t="shared" si="1"/>
        <v>0.10000000000000142</v>
      </c>
      <c r="N32" s="107">
        <f t="shared" si="12"/>
        <v>0</v>
      </c>
      <c r="O32" s="114">
        <v>67119</v>
      </c>
      <c r="P32" s="17">
        <f t="shared" ref="P32:P41" si="19">O32-O31</f>
        <v>17</v>
      </c>
      <c r="Q32" s="18">
        <f t="shared" si="14"/>
        <v>4.9249000000000001</v>
      </c>
      <c r="R32" s="114">
        <v>871</v>
      </c>
      <c r="S32" s="17">
        <f t="shared" si="2"/>
        <v>4</v>
      </c>
      <c r="T32" s="17"/>
      <c r="U32" s="2">
        <v>32940</v>
      </c>
      <c r="V32" s="17">
        <f t="shared" si="17"/>
        <v>2</v>
      </c>
      <c r="W32" s="18">
        <f t="shared" si="15"/>
        <v>0.6</v>
      </c>
      <c r="X32" s="2">
        <v>11099</v>
      </c>
      <c r="Y32" s="108">
        <f t="shared" si="18"/>
        <v>19</v>
      </c>
      <c r="Z32" s="18">
        <f t="shared" si="16"/>
        <v>18.589745937961592</v>
      </c>
      <c r="AA32" s="2">
        <v>753.4</v>
      </c>
      <c r="AB32" s="24">
        <f t="shared" si="5"/>
        <v>0.5</v>
      </c>
      <c r="AC32" s="17"/>
      <c r="AD32" s="24">
        <f t="shared" si="11"/>
        <v>0.33000000000000429</v>
      </c>
      <c r="AE32" s="25"/>
      <c r="AF32" s="17"/>
      <c r="AG32" s="10">
        <v>1.7</v>
      </c>
      <c r="AH32" s="29"/>
    </row>
    <row r="33" spans="1:34" x14ac:dyDescent="0.25">
      <c r="A33" s="5">
        <v>44629</v>
      </c>
      <c r="B33" s="67">
        <v>13.6</v>
      </c>
      <c r="C33" s="18">
        <f t="shared" si="6"/>
        <v>0</v>
      </c>
      <c r="D33" s="2">
        <v>3.22</v>
      </c>
      <c r="E33" s="107">
        <f t="shared" si="7"/>
        <v>0</v>
      </c>
      <c r="F33" s="2">
        <v>43.2</v>
      </c>
      <c r="G33" s="107">
        <f t="shared" si="8"/>
        <v>0.5</v>
      </c>
      <c r="H33" s="2">
        <v>0.98</v>
      </c>
      <c r="I33" s="107">
        <f t="shared" si="9"/>
        <v>0</v>
      </c>
      <c r="J33" s="2">
        <v>49.6</v>
      </c>
      <c r="K33" s="107">
        <f t="shared" si="0"/>
        <v>0.10000000000000142</v>
      </c>
      <c r="L33" s="2">
        <v>32.840000000000003</v>
      </c>
      <c r="M33" s="107">
        <f t="shared" si="1"/>
        <v>0.14000000000000057</v>
      </c>
      <c r="N33" s="107">
        <f t="shared" si="12"/>
        <v>0.35999999999999943</v>
      </c>
      <c r="O33" s="114">
        <v>67132</v>
      </c>
      <c r="P33" s="17">
        <f t="shared" si="19"/>
        <v>13</v>
      </c>
      <c r="Q33" s="18">
        <f t="shared" si="14"/>
        <v>3.7661000000000002</v>
      </c>
      <c r="R33" s="114">
        <v>874</v>
      </c>
      <c r="S33" s="17">
        <f t="shared" si="2"/>
        <v>3</v>
      </c>
      <c r="T33" s="17"/>
      <c r="U33" s="2">
        <v>32941</v>
      </c>
      <c r="V33" s="17">
        <f t="shared" si="17"/>
        <v>1</v>
      </c>
      <c r="W33" s="18">
        <f t="shared" si="15"/>
        <v>0.3</v>
      </c>
      <c r="X33" s="2">
        <v>11119</v>
      </c>
      <c r="Y33" s="108">
        <f t="shared" si="18"/>
        <v>20</v>
      </c>
      <c r="Z33" s="18">
        <f t="shared" si="16"/>
        <v>19.56815361890694</v>
      </c>
      <c r="AA33" s="2">
        <v>754.1</v>
      </c>
      <c r="AB33" s="24">
        <f t="shared" si="5"/>
        <v>0.70000000000004547</v>
      </c>
      <c r="AC33" s="17"/>
      <c r="AD33" s="24">
        <f t="shared" si="11"/>
        <v>0.74000000000000199</v>
      </c>
      <c r="AE33" s="25"/>
      <c r="AF33" s="17"/>
      <c r="AG33" s="10">
        <v>2.6</v>
      </c>
      <c r="AH33" s="29"/>
    </row>
    <row r="34" spans="1:34" x14ac:dyDescent="0.25">
      <c r="A34" s="5">
        <v>44630</v>
      </c>
      <c r="B34" s="67">
        <v>13.6</v>
      </c>
      <c r="C34" s="18">
        <f t="shared" si="6"/>
        <v>0</v>
      </c>
      <c r="D34" s="2">
        <v>3.28</v>
      </c>
      <c r="E34" s="107">
        <f t="shared" si="7"/>
        <v>5.9999999999999609E-2</v>
      </c>
      <c r="F34" s="2">
        <v>43.31</v>
      </c>
      <c r="G34" s="107">
        <f t="shared" si="8"/>
        <v>0.10999999999999943</v>
      </c>
      <c r="H34" s="2">
        <v>1</v>
      </c>
      <c r="I34" s="107">
        <f t="shared" si="9"/>
        <v>2.0000000000000018E-2</v>
      </c>
      <c r="J34" s="2">
        <v>49.8</v>
      </c>
      <c r="K34" s="107">
        <f t="shared" si="0"/>
        <v>0.19999999999999574</v>
      </c>
      <c r="L34" s="2">
        <v>32.950000000000003</v>
      </c>
      <c r="M34" s="107">
        <f t="shared" si="1"/>
        <v>0.10999999999999943</v>
      </c>
      <c r="N34" s="107">
        <f t="shared" si="12"/>
        <v>0</v>
      </c>
      <c r="O34" s="114">
        <v>67147</v>
      </c>
      <c r="P34" s="17">
        <f t="shared" si="19"/>
        <v>15</v>
      </c>
      <c r="Q34" s="18">
        <f t="shared" si="14"/>
        <v>4.3455000000000004</v>
      </c>
      <c r="R34" s="114">
        <v>878</v>
      </c>
      <c r="S34" s="17">
        <f t="shared" si="2"/>
        <v>4</v>
      </c>
      <c r="T34" s="17"/>
      <c r="U34" s="2">
        <v>32943</v>
      </c>
      <c r="V34" s="17">
        <f t="shared" si="17"/>
        <v>2</v>
      </c>
      <c r="W34" s="18">
        <f t="shared" si="15"/>
        <v>0.6</v>
      </c>
      <c r="X34" s="2">
        <v>11137</v>
      </c>
      <c r="Y34" s="108">
        <f t="shared" si="18"/>
        <v>18</v>
      </c>
      <c r="Z34" s="18">
        <f t="shared" si="16"/>
        <v>17.611338257016246</v>
      </c>
      <c r="AA34" s="2">
        <v>754.9</v>
      </c>
      <c r="AB34" s="24">
        <f t="shared" si="5"/>
        <v>0.79999999999995453</v>
      </c>
      <c r="AC34" s="17"/>
      <c r="AD34" s="24">
        <f t="shared" si="11"/>
        <v>0.49999999999999423</v>
      </c>
      <c r="AE34" s="25"/>
      <c r="AF34" s="17"/>
      <c r="AG34" s="10">
        <v>4.9000000000000004</v>
      </c>
      <c r="AH34" s="29"/>
    </row>
    <row r="35" spans="1:34" x14ac:dyDescent="0.25">
      <c r="A35" s="5">
        <v>44631</v>
      </c>
      <c r="B35" s="67">
        <v>13.6</v>
      </c>
      <c r="C35" s="18">
        <f t="shared" ref="C35:C86" si="20">B35-B34</f>
        <v>0</v>
      </c>
      <c r="D35" s="2">
        <v>3.31</v>
      </c>
      <c r="E35" s="107">
        <f t="shared" si="7"/>
        <v>3.0000000000000249E-2</v>
      </c>
      <c r="F35" s="2">
        <v>43.56</v>
      </c>
      <c r="G35" s="107">
        <f t="shared" si="8"/>
        <v>0.25</v>
      </c>
      <c r="H35" s="2">
        <v>1</v>
      </c>
      <c r="I35" s="107">
        <f t="shared" si="9"/>
        <v>0</v>
      </c>
      <c r="J35" s="2">
        <v>50</v>
      </c>
      <c r="K35" s="107">
        <f t="shared" si="0"/>
        <v>0.20000000000000284</v>
      </c>
      <c r="L35" s="2">
        <v>33.200000000000003</v>
      </c>
      <c r="M35" s="107">
        <f t="shared" si="1"/>
        <v>0.25</v>
      </c>
      <c r="N35" s="107">
        <f t="shared" si="12"/>
        <v>0</v>
      </c>
      <c r="O35" s="114">
        <v>67158</v>
      </c>
      <c r="P35" s="17">
        <f t="shared" si="19"/>
        <v>11</v>
      </c>
      <c r="Q35" s="18">
        <f t="shared" si="14"/>
        <v>3.1867000000000001</v>
      </c>
      <c r="R35" s="114">
        <v>883</v>
      </c>
      <c r="S35" s="17">
        <f t="shared" si="2"/>
        <v>5</v>
      </c>
      <c r="T35" s="17"/>
      <c r="U35" s="2">
        <v>32947</v>
      </c>
      <c r="V35" s="17">
        <f t="shared" si="17"/>
        <v>4</v>
      </c>
      <c r="W35" s="18">
        <f t="shared" si="15"/>
        <v>1.2</v>
      </c>
      <c r="X35" s="2">
        <v>11154</v>
      </c>
      <c r="Y35" s="108">
        <f t="shared" si="18"/>
        <v>17</v>
      </c>
      <c r="Z35" s="18">
        <f t="shared" si="16"/>
        <v>16.632930576070901</v>
      </c>
      <c r="AA35" s="2">
        <v>755.7</v>
      </c>
      <c r="AB35" s="24">
        <f t="shared" si="5"/>
        <v>0.80000000000006821</v>
      </c>
      <c r="AC35" s="17"/>
      <c r="AD35" s="24">
        <f>C35+E35+G35+I35+K35+M35</f>
        <v>0.73000000000000309</v>
      </c>
      <c r="AE35" s="25"/>
      <c r="AF35" s="17"/>
      <c r="AG35" s="10">
        <v>4</v>
      </c>
      <c r="AH35" s="29"/>
    </row>
    <row r="36" spans="1:34" x14ac:dyDescent="0.25">
      <c r="A36" s="5">
        <v>44632</v>
      </c>
      <c r="B36" s="67">
        <v>13.7</v>
      </c>
      <c r="C36" s="18">
        <f t="shared" si="20"/>
        <v>9.9999999999999645E-2</v>
      </c>
      <c r="D36" s="2">
        <v>3.37</v>
      </c>
      <c r="E36" s="107">
        <f t="shared" si="7"/>
        <v>6.0000000000000053E-2</v>
      </c>
      <c r="F36" s="2">
        <v>43.7</v>
      </c>
      <c r="G36" s="107">
        <f t="shared" si="8"/>
        <v>0.14000000000000057</v>
      </c>
      <c r="H36" s="2">
        <v>1.06</v>
      </c>
      <c r="I36" s="107">
        <f t="shared" si="9"/>
        <v>6.0000000000000053E-2</v>
      </c>
      <c r="J36" s="2">
        <v>50.17</v>
      </c>
      <c r="K36" s="107">
        <f t="shared" si="0"/>
        <v>0.17000000000000171</v>
      </c>
      <c r="L36" s="2">
        <v>33.270000000000003</v>
      </c>
      <c r="M36" s="107">
        <f t="shared" si="1"/>
        <v>7.0000000000000284E-2</v>
      </c>
      <c r="N36" s="107">
        <f t="shared" si="12"/>
        <v>7.0000000000000284E-2</v>
      </c>
      <c r="O36" s="114">
        <v>67169</v>
      </c>
      <c r="P36" s="17">
        <f t="shared" si="19"/>
        <v>11</v>
      </c>
      <c r="Q36" s="18">
        <f t="shared" si="14"/>
        <v>3.1867000000000001</v>
      </c>
      <c r="R36" s="114">
        <v>888</v>
      </c>
      <c r="S36" s="17">
        <f t="shared" si="2"/>
        <v>5</v>
      </c>
      <c r="T36" s="17"/>
      <c r="U36" s="2">
        <v>32952</v>
      </c>
      <c r="V36" s="17">
        <f t="shared" si="17"/>
        <v>5</v>
      </c>
      <c r="W36" s="18">
        <f t="shared" si="15"/>
        <v>1.5</v>
      </c>
      <c r="X36" s="2">
        <v>11173</v>
      </c>
      <c r="Y36" s="108">
        <f t="shared" si="18"/>
        <v>19</v>
      </c>
      <c r="Z36" s="18">
        <f t="shared" si="16"/>
        <v>18.589745937961592</v>
      </c>
      <c r="AA36" s="2">
        <v>756.4</v>
      </c>
      <c r="AB36" s="24">
        <f t="shared" si="5"/>
        <v>0.69999999999993179</v>
      </c>
      <c r="AC36" s="17"/>
      <c r="AD36" s="24">
        <f t="shared" ref="AD36:AD41" si="21">C36+E36+G36+I36+K36+M36</f>
        <v>0.60000000000000231</v>
      </c>
      <c r="AE36" s="25"/>
      <c r="AF36" s="17"/>
      <c r="AG36" s="10">
        <v>4.3</v>
      </c>
      <c r="AH36" s="29"/>
    </row>
    <row r="37" spans="1:34" x14ac:dyDescent="0.25">
      <c r="A37" s="5">
        <v>44633</v>
      </c>
      <c r="B37" s="67">
        <v>13.74</v>
      </c>
      <c r="C37" s="18">
        <f t="shared" si="20"/>
        <v>4.0000000000000924E-2</v>
      </c>
      <c r="D37" s="2">
        <v>3.38</v>
      </c>
      <c r="E37" s="107">
        <f t="shared" si="7"/>
        <v>9.9999999999997868E-3</v>
      </c>
      <c r="F37" s="2">
        <v>43.94</v>
      </c>
      <c r="G37" s="107">
        <f t="shared" si="8"/>
        <v>0.23999999999999488</v>
      </c>
      <c r="H37" s="2">
        <v>1.06</v>
      </c>
      <c r="I37" s="107">
        <f t="shared" si="9"/>
        <v>0</v>
      </c>
      <c r="J37" s="2">
        <v>50.34</v>
      </c>
      <c r="K37" s="107">
        <f t="shared" si="0"/>
        <v>0.17000000000000171</v>
      </c>
      <c r="L37" s="2">
        <v>33.36</v>
      </c>
      <c r="M37" s="107">
        <f t="shared" si="1"/>
        <v>8.9999999999996305E-2</v>
      </c>
      <c r="N37" s="107">
        <f t="shared" si="12"/>
        <v>0.14999999999999858</v>
      </c>
      <c r="O37" s="114">
        <v>67182</v>
      </c>
      <c r="P37" s="17">
        <f t="shared" si="19"/>
        <v>13</v>
      </c>
      <c r="Q37" s="18">
        <f t="shared" si="14"/>
        <v>3.7661000000000002</v>
      </c>
      <c r="R37" s="114">
        <v>890</v>
      </c>
      <c r="S37" s="17">
        <f t="shared" si="2"/>
        <v>2</v>
      </c>
      <c r="T37" s="17"/>
      <c r="U37" s="2">
        <v>32957</v>
      </c>
      <c r="V37" s="17">
        <f t="shared" si="17"/>
        <v>5</v>
      </c>
      <c r="W37" s="18">
        <f t="shared" si="15"/>
        <v>1.5</v>
      </c>
      <c r="X37" s="2">
        <v>11190</v>
      </c>
      <c r="Y37" s="108">
        <f t="shared" si="18"/>
        <v>17</v>
      </c>
      <c r="Z37" s="18">
        <f t="shared" si="16"/>
        <v>16.632930576070901</v>
      </c>
      <c r="AA37" s="2">
        <v>757.09</v>
      </c>
      <c r="AB37" s="24">
        <f t="shared" si="5"/>
        <v>0.69000000000005457</v>
      </c>
      <c r="AC37" s="17"/>
      <c r="AD37" s="24">
        <f t="shared" si="21"/>
        <v>0.54999999999999361</v>
      </c>
      <c r="AE37" s="25"/>
      <c r="AF37" s="17"/>
      <c r="AG37" s="10">
        <v>6.1</v>
      </c>
      <c r="AH37" s="29"/>
    </row>
    <row r="38" spans="1:34" x14ac:dyDescent="0.25">
      <c r="A38" s="5">
        <v>44634</v>
      </c>
      <c r="B38" s="67">
        <v>13.78</v>
      </c>
      <c r="C38" s="18">
        <f t="shared" si="20"/>
        <v>3.9999999999999147E-2</v>
      </c>
      <c r="D38" s="2">
        <v>3.45</v>
      </c>
      <c r="E38" s="107">
        <f t="shared" si="7"/>
        <v>7.0000000000000284E-2</v>
      </c>
      <c r="F38" s="2">
        <v>44.11</v>
      </c>
      <c r="G38" s="107">
        <f t="shared" si="8"/>
        <v>0.17000000000000171</v>
      </c>
      <c r="H38" s="2">
        <v>1.08</v>
      </c>
      <c r="I38" s="107">
        <f t="shared" si="9"/>
        <v>2.0000000000000018E-2</v>
      </c>
      <c r="J38" s="2">
        <v>50.53</v>
      </c>
      <c r="K38" s="107">
        <f t="shared" si="0"/>
        <v>0.18999999999999773</v>
      </c>
      <c r="L38" s="2">
        <v>33.51</v>
      </c>
      <c r="M38" s="107">
        <f t="shared" si="1"/>
        <v>0.14999999999999858</v>
      </c>
      <c r="N38" s="107">
        <f t="shared" si="12"/>
        <v>2.0000000000003126E-2</v>
      </c>
      <c r="O38" s="114">
        <v>67197</v>
      </c>
      <c r="P38" s="17">
        <f t="shared" si="19"/>
        <v>15</v>
      </c>
      <c r="Q38" s="18">
        <f t="shared" si="14"/>
        <v>4.3455000000000004</v>
      </c>
      <c r="R38" s="114">
        <v>895</v>
      </c>
      <c r="S38" s="17">
        <f t="shared" si="2"/>
        <v>5</v>
      </c>
      <c r="T38" s="17"/>
      <c r="U38" s="2">
        <v>32962</v>
      </c>
      <c r="V38" s="17">
        <f t="shared" si="17"/>
        <v>5</v>
      </c>
      <c r="W38" s="18">
        <f t="shared" si="15"/>
        <v>1.5</v>
      </c>
      <c r="X38" s="2">
        <v>11207</v>
      </c>
      <c r="Y38" s="108">
        <f t="shared" si="18"/>
        <v>17</v>
      </c>
      <c r="Z38" s="18">
        <f t="shared" si="16"/>
        <v>16.632930576070901</v>
      </c>
      <c r="AA38" s="2">
        <v>757.9</v>
      </c>
      <c r="AB38" s="24">
        <f t="shared" si="5"/>
        <v>0.80999999999994543</v>
      </c>
      <c r="AC38" s="17"/>
      <c r="AD38" s="24">
        <f t="shared" si="21"/>
        <v>0.63999999999999746</v>
      </c>
      <c r="AE38" s="25"/>
      <c r="AF38" s="17"/>
      <c r="AG38" s="10">
        <v>6.6</v>
      </c>
      <c r="AH38" s="29"/>
    </row>
    <row r="39" spans="1:34" x14ac:dyDescent="0.25">
      <c r="A39" s="5">
        <v>44635</v>
      </c>
      <c r="B39" s="67">
        <v>13.85</v>
      </c>
      <c r="C39" s="18">
        <f t="shared" si="20"/>
        <v>7.0000000000000284E-2</v>
      </c>
      <c r="D39" s="2">
        <v>3.45</v>
      </c>
      <c r="E39" s="107">
        <f t="shared" si="7"/>
        <v>0</v>
      </c>
      <c r="F39" s="2">
        <v>44.48</v>
      </c>
      <c r="G39" s="107">
        <f t="shared" si="8"/>
        <v>0.36999999999999744</v>
      </c>
      <c r="H39" s="2">
        <v>1.1000000000000001</v>
      </c>
      <c r="I39" s="107">
        <f t="shared" si="9"/>
        <v>2.0000000000000018E-2</v>
      </c>
      <c r="J39" s="2">
        <v>50.68</v>
      </c>
      <c r="K39" s="107">
        <f t="shared" si="0"/>
        <v>0.14999999999999858</v>
      </c>
      <c r="L39" s="2">
        <v>33.6</v>
      </c>
      <c r="M39" s="107">
        <f t="shared" si="1"/>
        <v>9.0000000000003411E-2</v>
      </c>
      <c r="N39" s="107">
        <f t="shared" si="12"/>
        <v>0.27999999999999403</v>
      </c>
      <c r="O39" s="114">
        <v>67207</v>
      </c>
      <c r="P39" s="17">
        <f t="shared" si="19"/>
        <v>10</v>
      </c>
      <c r="Q39" s="18">
        <f t="shared" si="14"/>
        <v>2.8970000000000002</v>
      </c>
      <c r="R39" s="114">
        <v>899</v>
      </c>
      <c r="S39" s="17">
        <f t="shared" si="2"/>
        <v>4</v>
      </c>
      <c r="T39" s="17"/>
      <c r="U39" s="2">
        <v>32968</v>
      </c>
      <c r="V39" s="17">
        <f t="shared" si="17"/>
        <v>6</v>
      </c>
      <c r="W39" s="18">
        <f t="shared" si="15"/>
        <v>1.7999999999999998</v>
      </c>
      <c r="X39" s="2">
        <v>11223</v>
      </c>
      <c r="Y39" s="108">
        <f t="shared" si="18"/>
        <v>16</v>
      </c>
      <c r="Z39" s="18">
        <f t="shared" si="16"/>
        <v>15.654522895125552</v>
      </c>
      <c r="AA39" s="2">
        <v>758.8</v>
      </c>
      <c r="AB39" s="24">
        <f t="shared" si="5"/>
        <v>0.89999999999997726</v>
      </c>
      <c r="AC39" s="17"/>
      <c r="AD39" s="24">
        <f t="shared" si="21"/>
        <v>0.69999999999999973</v>
      </c>
      <c r="AE39" s="25"/>
      <c r="AF39" s="17"/>
      <c r="AG39" s="10">
        <v>6.5</v>
      </c>
      <c r="AH39" s="29"/>
    </row>
    <row r="40" spans="1:34" x14ac:dyDescent="0.25">
      <c r="A40" s="5">
        <v>44636</v>
      </c>
      <c r="B40" s="67">
        <v>13.87</v>
      </c>
      <c r="C40" s="18">
        <f t="shared" si="20"/>
        <v>1.9999999999999574E-2</v>
      </c>
      <c r="D40" s="2">
        <v>3.54</v>
      </c>
      <c r="E40" s="107">
        <f t="shared" si="7"/>
        <v>8.9999999999999858E-2</v>
      </c>
      <c r="F40" s="2">
        <v>44.63</v>
      </c>
      <c r="G40" s="107">
        <f t="shared" si="8"/>
        <v>0.15000000000000568</v>
      </c>
      <c r="H40" s="2">
        <v>1.1200000000000001</v>
      </c>
      <c r="I40" s="107">
        <f t="shared" si="9"/>
        <v>2.0000000000000018E-2</v>
      </c>
      <c r="J40" s="2">
        <v>50.82</v>
      </c>
      <c r="K40" s="107">
        <f t="shared" si="0"/>
        <v>0.14000000000000057</v>
      </c>
      <c r="L40" s="2">
        <v>33.69</v>
      </c>
      <c r="M40" s="107">
        <f t="shared" si="1"/>
        <v>8.9999999999996305E-2</v>
      </c>
      <c r="N40" s="107">
        <f t="shared" si="12"/>
        <v>6.0000000000009379E-2</v>
      </c>
      <c r="O40" s="114">
        <v>67218</v>
      </c>
      <c r="P40" s="17">
        <f t="shared" si="19"/>
        <v>11</v>
      </c>
      <c r="Q40" s="18">
        <f t="shared" ref="Q40:Q55" si="22">P40*$C$2</f>
        <v>3.1867000000000001</v>
      </c>
      <c r="R40" s="114">
        <v>904</v>
      </c>
      <c r="S40" s="17">
        <f t="shared" si="2"/>
        <v>5</v>
      </c>
      <c r="T40" s="17"/>
      <c r="U40" s="2">
        <v>32971</v>
      </c>
      <c r="V40" s="17">
        <f t="shared" ref="V40:V55" si="23">U40-U39</f>
        <v>3</v>
      </c>
      <c r="W40" s="18">
        <f t="shared" ref="W40:W55" si="24">V40*$C$3</f>
        <v>0.89999999999999991</v>
      </c>
      <c r="X40" s="2">
        <v>11238</v>
      </c>
      <c r="Y40" s="108">
        <f t="shared" ref="Y40:Y55" si="25">X40-X39</f>
        <v>15</v>
      </c>
      <c r="Z40" s="18">
        <f t="shared" ref="Z40:Z55" si="26">Y40*$C$5*$G$4</f>
        <v>14.676115214180205</v>
      </c>
      <c r="AA40" s="2">
        <v>759.3</v>
      </c>
      <c r="AB40" s="24">
        <f t="shared" ref="AB40:AB55" si="27">AA40-AA39</f>
        <v>0.5</v>
      </c>
      <c r="AC40" s="17"/>
      <c r="AD40" s="24">
        <f t="shared" si="21"/>
        <v>0.51000000000000201</v>
      </c>
      <c r="AE40" s="25"/>
      <c r="AF40" s="17"/>
      <c r="AG40" s="2">
        <v>3.9</v>
      </c>
      <c r="AH40" s="29"/>
    </row>
    <row r="41" spans="1:34" x14ac:dyDescent="0.25">
      <c r="A41" s="5">
        <v>44637</v>
      </c>
      <c r="B41" s="67">
        <v>13.93</v>
      </c>
      <c r="C41" s="18">
        <f t="shared" si="20"/>
        <v>6.0000000000000497E-2</v>
      </c>
      <c r="D41" s="2">
        <v>3.58</v>
      </c>
      <c r="E41" s="107">
        <f t="shared" si="7"/>
        <v>4.0000000000000036E-2</v>
      </c>
      <c r="F41" s="2">
        <v>44.82</v>
      </c>
      <c r="G41" s="107">
        <f t="shared" si="8"/>
        <v>0.18999999999999773</v>
      </c>
      <c r="H41" s="2">
        <v>1.1399999999999999</v>
      </c>
      <c r="I41" s="107">
        <f t="shared" si="9"/>
        <v>1.9999999999999796E-2</v>
      </c>
      <c r="J41" s="2">
        <v>50.94</v>
      </c>
      <c r="K41" s="107">
        <f t="shared" si="0"/>
        <v>0.11999999999999744</v>
      </c>
      <c r="L41" s="2">
        <v>33.770000000000003</v>
      </c>
      <c r="M41" s="107">
        <f t="shared" si="1"/>
        <v>8.00000000000054E-2</v>
      </c>
      <c r="N41" s="107">
        <f t="shared" si="12"/>
        <v>0.10999999999999233</v>
      </c>
      <c r="O41" s="114">
        <v>67234</v>
      </c>
      <c r="P41" s="17">
        <f t="shared" si="19"/>
        <v>16</v>
      </c>
      <c r="Q41" s="18">
        <f t="shared" si="22"/>
        <v>4.6352000000000002</v>
      </c>
      <c r="R41" s="114">
        <v>908</v>
      </c>
      <c r="S41" s="17">
        <f t="shared" si="2"/>
        <v>4</v>
      </c>
      <c r="T41" s="17"/>
      <c r="U41" s="2">
        <v>32975</v>
      </c>
      <c r="V41" s="17">
        <f t="shared" si="23"/>
        <v>4</v>
      </c>
      <c r="W41" s="18">
        <f t="shared" si="24"/>
        <v>1.2</v>
      </c>
      <c r="X41" s="2">
        <v>11256</v>
      </c>
      <c r="Y41" s="108">
        <f t="shared" si="25"/>
        <v>18</v>
      </c>
      <c r="Z41" s="18">
        <f t="shared" si="26"/>
        <v>17.611338257016246</v>
      </c>
      <c r="AA41" s="2">
        <v>759.9</v>
      </c>
      <c r="AB41" s="24">
        <f t="shared" si="27"/>
        <v>0.60000000000002274</v>
      </c>
      <c r="AC41" s="17"/>
      <c r="AD41" s="24">
        <f t="shared" si="21"/>
        <v>0.5100000000000009</v>
      </c>
      <c r="AE41" s="25"/>
      <c r="AF41" s="17"/>
      <c r="AG41" s="2">
        <v>5.6</v>
      </c>
      <c r="AH41" s="29"/>
    </row>
    <row r="42" spans="1:34" x14ac:dyDescent="0.25">
      <c r="A42" s="5">
        <v>44638</v>
      </c>
      <c r="B42" s="67">
        <v>13.97</v>
      </c>
      <c r="C42" s="18">
        <f t="shared" si="20"/>
        <v>4.0000000000000924E-2</v>
      </c>
      <c r="D42" s="2">
        <v>3.59</v>
      </c>
      <c r="E42" s="107">
        <f t="shared" si="7"/>
        <v>9.9999999999997868E-3</v>
      </c>
      <c r="F42" s="2">
        <v>45.03</v>
      </c>
      <c r="G42" s="107">
        <f t="shared" si="8"/>
        <v>0.21000000000000085</v>
      </c>
      <c r="H42" s="2">
        <v>1.1399999999999999</v>
      </c>
      <c r="I42" s="107">
        <f t="shared" si="9"/>
        <v>0</v>
      </c>
      <c r="J42" s="2">
        <v>51.09</v>
      </c>
      <c r="K42" s="107">
        <f t="shared" ref="K42:K86" si="28">J42-J41</f>
        <v>0.15000000000000568</v>
      </c>
      <c r="L42" s="2">
        <v>33.880000000000003</v>
      </c>
      <c r="M42" s="107">
        <f t="shared" si="1"/>
        <v>0.10999999999999943</v>
      </c>
      <c r="N42" s="107">
        <f t="shared" si="12"/>
        <v>0.10000000000000142</v>
      </c>
      <c r="O42" s="114">
        <v>67254</v>
      </c>
      <c r="P42" s="17">
        <f t="shared" ref="P42:P55" si="29">O42-O41</f>
        <v>20</v>
      </c>
      <c r="Q42" s="18">
        <f t="shared" si="22"/>
        <v>5.7940000000000005</v>
      </c>
      <c r="R42" s="114">
        <v>911</v>
      </c>
      <c r="S42" s="17">
        <f t="shared" si="2"/>
        <v>3</v>
      </c>
      <c r="T42" s="17"/>
      <c r="U42" s="2">
        <v>32979</v>
      </c>
      <c r="V42" s="17">
        <f t="shared" si="23"/>
        <v>4</v>
      </c>
      <c r="W42" s="18">
        <f t="shared" si="24"/>
        <v>1.2</v>
      </c>
      <c r="X42" s="2">
        <v>11275</v>
      </c>
      <c r="Y42" s="108">
        <f t="shared" si="25"/>
        <v>19</v>
      </c>
      <c r="Z42" s="18">
        <f t="shared" si="26"/>
        <v>18.589745937961592</v>
      </c>
      <c r="AA42" s="2">
        <v>760.6</v>
      </c>
      <c r="AB42" s="24">
        <f t="shared" si="27"/>
        <v>0.70000000000004547</v>
      </c>
      <c r="AC42" s="17"/>
      <c r="AD42" s="24">
        <f t="shared" ref="AD42:AD47" si="30">C42+E42+G42+I42+K42+M42</f>
        <v>0.52000000000000668</v>
      </c>
      <c r="AE42" s="25"/>
      <c r="AF42" s="17"/>
      <c r="AG42" s="2">
        <v>4.3</v>
      </c>
      <c r="AH42" s="29"/>
    </row>
    <row r="43" spans="1:34" x14ac:dyDescent="0.25">
      <c r="A43" s="5">
        <v>44639</v>
      </c>
      <c r="B43" s="67">
        <v>14.03</v>
      </c>
      <c r="C43" s="18">
        <f t="shared" si="20"/>
        <v>5.9999999999998721E-2</v>
      </c>
      <c r="D43" s="2">
        <v>3.59</v>
      </c>
      <c r="E43" s="107">
        <f t="shared" si="7"/>
        <v>0</v>
      </c>
      <c r="F43" s="2">
        <v>45.14</v>
      </c>
      <c r="G43" s="107">
        <f t="shared" si="8"/>
        <v>0.10999999999999943</v>
      </c>
      <c r="H43" s="2">
        <v>1.1399999999999999</v>
      </c>
      <c r="I43" s="107">
        <f t="shared" si="9"/>
        <v>0</v>
      </c>
      <c r="J43" s="2">
        <v>51.22</v>
      </c>
      <c r="K43" s="107">
        <f t="shared" si="28"/>
        <v>0.12999999999999545</v>
      </c>
      <c r="L43" s="2">
        <v>33.97</v>
      </c>
      <c r="M43" s="107">
        <f t="shared" si="1"/>
        <v>8.9999999999996305E-2</v>
      </c>
      <c r="N43" s="107">
        <f t="shared" si="12"/>
        <v>2.0000000000003126E-2</v>
      </c>
      <c r="O43" s="114">
        <v>67277</v>
      </c>
      <c r="P43" s="17">
        <f t="shared" si="29"/>
        <v>23</v>
      </c>
      <c r="Q43" s="18">
        <f t="shared" si="22"/>
        <v>6.6631</v>
      </c>
      <c r="R43" s="114">
        <v>913</v>
      </c>
      <c r="S43" s="17">
        <f t="shared" si="2"/>
        <v>2</v>
      </c>
      <c r="T43" s="17"/>
      <c r="U43" s="2">
        <v>32984</v>
      </c>
      <c r="V43" s="17">
        <f t="shared" si="23"/>
        <v>5</v>
      </c>
      <c r="W43" s="18">
        <f t="shared" si="24"/>
        <v>1.5</v>
      </c>
      <c r="X43" s="2">
        <v>11289</v>
      </c>
      <c r="Y43" s="108">
        <f t="shared" si="25"/>
        <v>14</v>
      </c>
      <c r="Z43" s="18">
        <f t="shared" si="26"/>
        <v>13.697707533234858</v>
      </c>
      <c r="AA43" s="2">
        <v>760.9</v>
      </c>
      <c r="AB43" s="24">
        <f t="shared" si="27"/>
        <v>0.29999999999995453</v>
      </c>
      <c r="AC43" s="17"/>
      <c r="AD43" s="24">
        <f t="shared" si="30"/>
        <v>0.38999999999998991</v>
      </c>
      <c r="AE43" s="25"/>
      <c r="AF43" s="17"/>
      <c r="AG43" s="2">
        <v>3.8</v>
      </c>
      <c r="AH43" s="29"/>
    </row>
    <row r="44" spans="1:34" x14ac:dyDescent="0.25">
      <c r="A44" s="5">
        <v>44640</v>
      </c>
      <c r="B44" s="67">
        <v>14.07</v>
      </c>
      <c r="C44" s="18">
        <f t="shared" si="20"/>
        <v>4.0000000000000924E-2</v>
      </c>
      <c r="D44" s="2">
        <v>3.59</v>
      </c>
      <c r="E44" s="107">
        <f t="shared" si="7"/>
        <v>0</v>
      </c>
      <c r="F44" s="2">
        <v>45.35</v>
      </c>
      <c r="G44" s="107">
        <f t="shared" si="8"/>
        <v>0.21000000000000085</v>
      </c>
      <c r="H44" s="2">
        <v>1.1399999999999999</v>
      </c>
      <c r="I44" s="107">
        <f t="shared" si="9"/>
        <v>0</v>
      </c>
      <c r="J44" s="2">
        <v>51.49</v>
      </c>
      <c r="K44" s="107">
        <f t="shared" si="28"/>
        <v>0.27000000000000313</v>
      </c>
      <c r="L44" s="2">
        <v>34.18</v>
      </c>
      <c r="M44" s="107">
        <f t="shared" si="1"/>
        <v>0.21000000000000085</v>
      </c>
      <c r="N44" s="107">
        <f t="shared" si="12"/>
        <v>0</v>
      </c>
      <c r="O44" s="114">
        <v>67299</v>
      </c>
      <c r="P44" s="17">
        <f t="shared" si="29"/>
        <v>22</v>
      </c>
      <c r="Q44" s="18">
        <f t="shared" si="22"/>
        <v>6.3734000000000002</v>
      </c>
      <c r="R44" s="114">
        <v>915</v>
      </c>
      <c r="S44" s="17">
        <f t="shared" si="2"/>
        <v>2</v>
      </c>
      <c r="T44" s="17"/>
      <c r="U44" s="2">
        <v>32993</v>
      </c>
      <c r="V44" s="17">
        <f t="shared" si="23"/>
        <v>9</v>
      </c>
      <c r="W44" s="18">
        <f t="shared" si="24"/>
        <v>2.6999999999999997</v>
      </c>
      <c r="X44" s="2">
        <v>11303</v>
      </c>
      <c r="Y44" s="108">
        <f t="shared" si="25"/>
        <v>14</v>
      </c>
      <c r="Z44" s="18">
        <f t="shared" si="26"/>
        <v>13.697707533234858</v>
      </c>
      <c r="AA44" s="2">
        <v>761.7</v>
      </c>
      <c r="AB44" s="24">
        <f t="shared" si="27"/>
        <v>0.80000000000006821</v>
      </c>
      <c r="AC44" s="17"/>
      <c r="AD44" s="24">
        <f t="shared" si="30"/>
        <v>0.73000000000000576</v>
      </c>
      <c r="AE44" s="25"/>
      <c r="AF44" s="17"/>
      <c r="AG44" s="2">
        <v>6.2</v>
      </c>
      <c r="AH44" s="29"/>
    </row>
    <row r="45" spans="1:34" x14ac:dyDescent="0.25">
      <c r="A45" s="5">
        <v>44641</v>
      </c>
      <c r="B45" s="67">
        <v>14.11</v>
      </c>
      <c r="C45" s="18">
        <f t="shared" si="20"/>
        <v>3.9999999999999147E-2</v>
      </c>
      <c r="D45" s="2">
        <v>3.63</v>
      </c>
      <c r="E45" s="107">
        <f t="shared" si="7"/>
        <v>4.0000000000000036E-2</v>
      </c>
      <c r="F45" s="2">
        <v>45.48</v>
      </c>
      <c r="G45" s="107">
        <f t="shared" si="8"/>
        <v>0.12999999999999545</v>
      </c>
      <c r="H45" s="2">
        <v>1.1599999999999999</v>
      </c>
      <c r="I45" s="107">
        <f t="shared" si="9"/>
        <v>2.0000000000000018E-2</v>
      </c>
      <c r="J45" s="2">
        <v>51.66</v>
      </c>
      <c r="K45" s="107">
        <f t="shared" si="28"/>
        <v>0.1699999999999946</v>
      </c>
      <c r="L45" s="2">
        <v>34.29</v>
      </c>
      <c r="M45" s="107">
        <f t="shared" si="1"/>
        <v>0.10999999999999943</v>
      </c>
      <c r="N45" s="107">
        <f t="shared" si="12"/>
        <v>1.9999999999996021E-2</v>
      </c>
      <c r="O45" s="114">
        <v>67323</v>
      </c>
      <c r="P45" s="17">
        <f t="shared" si="29"/>
        <v>24</v>
      </c>
      <c r="Q45" s="18">
        <f t="shared" si="22"/>
        <v>6.9527999999999999</v>
      </c>
      <c r="R45" s="114">
        <v>919</v>
      </c>
      <c r="S45" s="17">
        <f t="shared" si="2"/>
        <v>4</v>
      </c>
      <c r="T45" s="17"/>
      <c r="U45" s="2">
        <v>32998</v>
      </c>
      <c r="V45" s="17">
        <f t="shared" si="23"/>
        <v>5</v>
      </c>
      <c r="W45" s="18">
        <f t="shared" si="24"/>
        <v>1.5</v>
      </c>
      <c r="X45" s="2">
        <v>11318</v>
      </c>
      <c r="Y45" s="108">
        <f t="shared" si="25"/>
        <v>15</v>
      </c>
      <c r="Z45" s="18">
        <f t="shared" si="26"/>
        <v>14.676115214180205</v>
      </c>
      <c r="AA45" s="2">
        <v>762.5</v>
      </c>
      <c r="AB45" s="24">
        <f t="shared" si="27"/>
        <v>0.79999999999995453</v>
      </c>
      <c r="AC45" s="17"/>
      <c r="AD45" s="24">
        <f t="shared" si="30"/>
        <v>0.50999999999998868</v>
      </c>
      <c r="AE45" s="25"/>
      <c r="AF45" s="17"/>
      <c r="AG45" s="2">
        <v>7.4</v>
      </c>
      <c r="AH45" s="29"/>
    </row>
    <row r="46" spans="1:34" x14ac:dyDescent="0.25">
      <c r="A46" s="5">
        <v>44642</v>
      </c>
      <c r="B46" s="67">
        <v>14.14</v>
      </c>
      <c r="C46" s="18">
        <f t="shared" si="20"/>
        <v>3.0000000000001137E-2</v>
      </c>
      <c r="D46" s="2">
        <v>3.67</v>
      </c>
      <c r="E46" s="107">
        <f t="shared" si="7"/>
        <v>4.0000000000000036E-2</v>
      </c>
      <c r="F46" s="2">
        <v>45.72</v>
      </c>
      <c r="G46" s="107">
        <f t="shared" si="8"/>
        <v>0.24000000000000199</v>
      </c>
      <c r="H46" s="2">
        <v>1.18</v>
      </c>
      <c r="I46" s="107">
        <f t="shared" si="9"/>
        <v>2.0000000000000018E-2</v>
      </c>
      <c r="J46" s="2">
        <v>51.92</v>
      </c>
      <c r="K46" s="107">
        <f t="shared" si="28"/>
        <v>0.26000000000000512</v>
      </c>
      <c r="L46" s="2">
        <v>34.479999999999997</v>
      </c>
      <c r="M46" s="107">
        <f t="shared" si="1"/>
        <v>0.18999999999999773</v>
      </c>
      <c r="N46" s="107">
        <f t="shared" si="12"/>
        <v>5.0000000000004263E-2</v>
      </c>
      <c r="O46" s="114">
        <v>67337</v>
      </c>
      <c r="P46" s="17">
        <f t="shared" si="29"/>
        <v>14</v>
      </c>
      <c r="Q46" s="18">
        <f t="shared" si="22"/>
        <v>4.0558000000000005</v>
      </c>
      <c r="R46" s="114">
        <v>923</v>
      </c>
      <c r="S46" s="17">
        <f t="shared" ref="S46:S55" si="31">R46-R45</f>
        <v>4</v>
      </c>
      <c r="T46" s="17"/>
      <c r="U46" s="2">
        <v>33001</v>
      </c>
      <c r="V46" s="17">
        <f t="shared" si="23"/>
        <v>3</v>
      </c>
      <c r="W46" s="18">
        <f t="shared" si="24"/>
        <v>0.89999999999999991</v>
      </c>
      <c r="X46" s="2">
        <v>11332</v>
      </c>
      <c r="Y46" s="108">
        <f t="shared" si="25"/>
        <v>14</v>
      </c>
      <c r="Z46" s="18">
        <f t="shared" si="26"/>
        <v>13.697707533234858</v>
      </c>
      <c r="AA46" s="2">
        <v>763.2</v>
      </c>
      <c r="AB46" s="24">
        <f t="shared" si="27"/>
        <v>0.70000000000004547</v>
      </c>
      <c r="AC46" s="17"/>
      <c r="AD46" s="24">
        <f t="shared" si="30"/>
        <v>0.78000000000000602</v>
      </c>
      <c r="AE46" s="25"/>
      <c r="AF46" s="17"/>
      <c r="AG46" s="2">
        <v>6.7</v>
      </c>
      <c r="AH46" s="29"/>
    </row>
    <row r="47" spans="1:34" x14ac:dyDescent="0.25">
      <c r="A47" s="5">
        <v>44643</v>
      </c>
      <c r="B47" s="67">
        <v>14.19</v>
      </c>
      <c r="C47" s="18">
        <f t="shared" si="20"/>
        <v>4.9999999999998934E-2</v>
      </c>
      <c r="D47" s="2">
        <v>3.68</v>
      </c>
      <c r="E47" s="107">
        <f t="shared" si="7"/>
        <v>1.0000000000000231E-2</v>
      </c>
      <c r="F47" s="2">
        <v>45.92</v>
      </c>
      <c r="G47" s="107">
        <f t="shared" si="8"/>
        <v>0.20000000000000284</v>
      </c>
      <c r="H47" s="30">
        <v>1.2</v>
      </c>
      <c r="I47" s="107">
        <f t="shared" si="9"/>
        <v>2.0000000000000018E-2</v>
      </c>
      <c r="J47" s="2">
        <v>52.11</v>
      </c>
      <c r="K47" s="107">
        <f t="shared" si="28"/>
        <v>0.18999999999999773</v>
      </c>
      <c r="L47" s="2">
        <v>34.619999999999997</v>
      </c>
      <c r="M47" s="107">
        <f t="shared" si="1"/>
        <v>0.14000000000000057</v>
      </c>
      <c r="N47" s="107">
        <f t="shared" si="12"/>
        <v>6.0000000000002274E-2</v>
      </c>
      <c r="O47" s="114">
        <v>67352</v>
      </c>
      <c r="P47" s="17">
        <f t="shared" si="29"/>
        <v>15</v>
      </c>
      <c r="Q47" s="18">
        <f t="shared" si="22"/>
        <v>4.3455000000000004</v>
      </c>
      <c r="R47" s="114">
        <v>925</v>
      </c>
      <c r="S47" s="17">
        <f t="shared" si="31"/>
        <v>2</v>
      </c>
      <c r="T47" s="17"/>
      <c r="U47" s="2">
        <v>33005</v>
      </c>
      <c r="V47" s="17">
        <f t="shared" si="23"/>
        <v>4</v>
      </c>
      <c r="W47" s="18">
        <f t="shared" si="24"/>
        <v>1.2</v>
      </c>
      <c r="X47" s="30">
        <v>11342</v>
      </c>
      <c r="Y47" s="108">
        <f t="shared" si="25"/>
        <v>10</v>
      </c>
      <c r="Z47" s="18">
        <f t="shared" si="26"/>
        <v>9.7840768094534702</v>
      </c>
      <c r="AA47" s="2">
        <v>763.7</v>
      </c>
      <c r="AB47" s="24">
        <f t="shared" si="27"/>
        <v>0.5</v>
      </c>
      <c r="AC47" s="17"/>
      <c r="AD47" s="24">
        <f t="shared" si="30"/>
        <v>0.61000000000000032</v>
      </c>
      <c r="AE47" s="25">
        <v>124</v>
      </c>
      <c r="AF47" s="17"/>
      <c r="AG47" s="2">
        <v>6.6</v>
      </c>
      <c r="AH47" s="29"/>
    </row>
    <row r="48" spans="1:34" x14ac:dyDescent="0.25">
      <c r="A48" s="5">
        <v>44644</v>
      </c>
      <c r="B48" s="67">
        <v>14.21</v>
      </c>
      <c r="C48" s="18">
        <f t="shared" si="20"/>
        <v>2.000000000000135E-2</v>
      </c>
      <c r="D48" s="2">
        <v>3.69</v>
      </c>
      <c r="E48" s="107">
        <f t="shared" si="7"/>
        <v>9.9999999999997868E-3</v>
      </c>
      <c r="F48" s="2">
        <v>46.13</v>
      </c>
      <c r="G48" s="107">
        <f t="shared" si="8"/>
        <v>0.21000000000000085</v>
      </c>
      <c r="H48" s="2">
        <v>1.21</v>
      </c>
      <c r="I48" s="107">
        <f t="shared" si="9"/>
        <v>1.0000000000000009E-2</v>
      </c>
      <c r="J48" s="2">
        <v>52.24</v>
      </c>
      <c r="K48" s="107">
        <f t="shared" si="28"/>
        <v>0.13000000000000256</v>
      </c>
      <c r="L48" s="2">
        <v>34.71</v>
      </c>
      <c r="M48" s="107">
        <f t="shared" si="1"/>
        <v>9.0000000000003411E-2</v>
      </c>
      <c r="N48" s="107">
        <f t="shared" si="12"/>
        <v>0.11999999999999744</v>
      </c>
      <c r="O48" s="114">
        <v>67364</v>
      </c>
      <c r="P48" s="17">
        <f t="shared" si="29"/>
        <v>12</v>
      </c>
      <c r="Q48" s="18">
        <f t="shared" si="22"/>
        <v>3.4763999999999999</v>
      </c>
      <c r="R48" s="114">
        <v>928</v>
      </c>
      <c r="S48" s="17">
        <f t="shared" si="31"/>
        <v>3</v>
      </c>
      <c r="T48" s="17"/>
      <c r="U48" s="2">
        <v>33007</v>
      </c>
      <c r="V48" s="17">
        <f t="shared" si="23"/>
        <v>2</v>
      </c>
      <c r="W48" s="18">
        <f t="shared" si="24"/>
        <v>0.6</v>
      </c>
      <c r="X48" s="2">
        <v>11353</v>
      </c>
      <c r="Y48" s="108">
        <f t="shared" si="25"/>
        <v>11</v>
      </c>
      <c r="Z48" s="18">
        <f t="shared" si="26"/>
        <v>10.762484490398817</v>
      </c>
      <c r="AA48" s="2">
        <v>764.8</v>
      </c>
      <c r="AB48" s="24">
        <f t="shared" si="27"/>
        <v>1.0999999999999091</v>
      </c>
      <c r="AC48" s="17"/>
      <c r="AD48" s="24">
        <f t="shared" ref="AD48:AD55" si="32">C48+E48+G48+I48+K48+M48+AF48</f>
        <v>1.2700000000000051</v>
      </c>
      <c r="AE48" s="25">
        <v>124.8</v>
      </c>
      <c r="AF48" s="17">
        <f t="shared" ref="AF48:AF73" si="33">AE48-AE47</f>
        <v>0.79999999999999716</v>
      </c>
      <c r="AG48" s="2">
        <v>6.7</v>
      </c>
      <c r="AH48" s="29"/>
    </row>
    <row r="49" spans="1:34" x14ac:dyDescent="0.25">
      <c r="A49" s="5">
        <v>44645</v>
      </c>
      <c r="B49" s="67">
        <v>14.27</v>
      </c>
      <c r="C49" s="18">
        <f t="shared" si="20"/>
        <v>5.9999999999998721E-2</v>
      </c>
      <c r="D49" s="2">
        <v>3.69</v>
      </c>
      <c r="E49" s="107">
        <f t="shared" si="7"/>
        <v>0</v>
      </c>
      <c r="F49" s="2">
        <v>46.26</v>
      </c>
      <c r="G49" s="107">
        <f t="shared" si="8"/>
        <v>0.12999999999999545</v>
      </c>
      <c r="H49" s="2">
        <v>1.22</v>
      </c>
      <c r="I49" s="107">
        <f t="shared" si="9"/>
        <v>1.0000000000000009E-2</v>
      </c>
      <c r="J49" s="2">
        <v>52.36</v>
      </c>
      <c r="K49" s="107">
        <f t="shared" si="28"/>
        <v>0.11999999999999744</v>
      </c>
      <c r="L49" s="2">
        <v>34.82</v>
      </c>
      <c r="M49" s="107">
        <f t="shared" si="1"/>
        <v>0.10999999999999943</v>
      </c>
      <c r="N49" s="107">
        <f t="shared" si="12"/>
        <v>1.9999999999996021E-2</v>
      </c>
      <c r="O49" s="114">
        <v>67380</v>
      </c>
      <c r="P49" s="17">
        <f t="shared" si="29"/>
        <v>16</v>
      </c>
      <c r="Q49" s="18">
        <f t="shared" si="22"/>
        <v>4.6352000000000002</v>
      </c>
      <c r="R49" s="114">
        <v>931</v>
      </c>
      <c r="S49" s="17">
        <f t="shared" si="31"/>
        <v>3</v>
      </c>
      <c r="T49" s="17"/>
      <c r="U49" s="2">
        <v>33012</v>
      </c>
      <c r="V49" s="17">
        <f t="shared" si="23"/>
        <v>5</v>
      </c>
      <c r="W49" s="18">
        <f t="shared" si="24"/>
        <v>1.5</v>
      </c>
      <c r="X49" s="2">
        <v>11364</v>
      </c>
      <c r="Y49" s="108">
        <f t="shared" si="25"/>
        <v>11</v>
      </c>
      <c r="Z49" s="18">
        <f t="shared" si="26"/>
        <v>10.762484490398817</v>
      </c>
      <c r="AA49" s="2">
        <v>765.7</v>
      </c>
      <c r="AB49" s="24">
        <f t="shared" si="27"/>
        <v>0.90000000000009095</v>
      </c>
      <c r="AC49" s="17"/>
      <c r="AD49" s="24">
        <f t="shared" si="32"/>
        <v>0.82999999999999674</v>
      </c>
      <c r="AE49" s="25">
        <v>125.2</v>
      </c>
      <c r="AF49" s="17">
        <f t="shared" si="33"/>
        <v>0.40000000000000568</v>
      </c>
      <c r="AG49" s="2">
        <v>8.8000000000000007</v>
      </c>
      <c r="AH49" s="29"/>
    </row>
    <row r="50" spans="1:34" x14ac:dyDescent="0.25">
      <c r="A50" s="5">
        <v>44646</v>
      </c>
      <c r="B50" s="67">
        <v>14.28</v>
      </c>
      <c r="C50" s="18">
        <f t="shared" si="20"/>
        <v>9.9999999999997868E-3</v>
      </c>
      <c r="D50" s="2">
        <v>3.69</v>
      </c>
      <c r="E50" s="107">
        <f t="shared" si="7"/>
        <v>0</v>
      </c>
      <c r="F50" s="2">
        <v>46.38</v>
      </c>
      <c r="G50" s="107">
        <f t="shared" si="8"/>
        <v>0.12000000000000455</v>
      </c>
      <c r="H50" s="2">
        <v>1.22</v>
      </c>
      <c r="I50" s="107">
        <f t="shared" si="9"/>
        <v>0</v>
      </c>
      <c r="J50" s="2">
        <v>52.48</v>
      </c>
      <c r="K50" s="107">
        <f t="shared" si="28"/>
        <v>0.11999999999999744</v>
      </c>
      <c r="L50" s="2">
        <v>34.93</v>
      </c>
      <c r="M50" s="107">
        <f t="shared" si="1"/>
        <v>0.10999999999999943</v>
      </c>
      <c r="N50" s="107">
        <f t="shared" si="12"/>
        <v>1.0000000000005116E-2</v>
      </c>
      <c r="O50" s="114">
        <v>67397</v>
      </c>
      <c r="P50" s="17">
        <f t="shared" si="29"/>
        <v>17</v>
      </c>
      <c r="Q50" s="18">
        <f t="shared" si="22"/>
        <v>4.9249000000000001</v>
      </c>
      <c r="R50" s="114">
        <v>933</v>
      </c>
      <c r="S50" s="17">
        <f t="shared" si="31"/>
        <v>2</v>
      </c>
      <c r="T50" s="17"/>
      <c r="U50" s="2">
        <v>33013</v>
      </c>
      <c r="V50" s="17">
        <f t="shared" si="23"/>
        <v>1</v>
      </c>
      <c r="W50" s="18">
        <f t="shared" si="24"/>
        <v>0.3</v>
      </c>
      <c r="X50" s="2">
        <v>11372</v>
      </c>
      <c r="Y50" s="108">
        <f t="shared" si="25"/>
        <v>8</v>
      </c>
      <c r="Z50" s="18">
        <f t="shared" si="26"/>
        <v>7.8272614475627762</v>
      </c>
      <c r="AA50" s="2">
        <v>766.1</v>
      </c>
      <c r="AB50" s="24">
        <f t="shared" si="27"/>
        <v>0.39999999999997726</v>
      </c>
      <c r="AC50" s="17"/>
      <c r="AD50" s="24">
        <f t="shared" si="32"/>
        <v>0.56000000000000405</v>
      </c>
      <c r="AE50" s="25">
        <v>125.4</v>
      </c>
      <c r="AF50" s="17">
        <f t="shared" si="33"/>
        <v>0.20000000000000284</v>
      </c>
      <c r="AG50" s="2">
        <v>8.3000000000000007</v>
      </c>
      <c r="AH50" s="29"/>
    </row>
    <row r="51" spans="1:34" x14ac:dyDescent="0.25">
      <c r="A51" s="5">
        <v>44647</v>
      </c>
      <c r="B51" s="67">
        <v>14.28</v>
      </c>
      <c r="C51" s="18">
        <f t="shared" si="20"/>
        <v>0</v>
      </c>
      <c r="D51" s="2">
        <v>3.69</v>
      </c>
      <c r="E51" s="107">
        <f t="shared" si="7"/>
        <v>0</v>
      </c>
      <c r="F51" s="2">
        <v>46.5</v>
      </c>
      <c r="G51" s="107">
        <f t="shared" si="8"/>
        <v>0.11999999999999744</v>
      </c>
      <c r="H51" s="2">
        <v>1.22</v>
      </c>
      <c r="I51" s="107">
        <f t="shared" si="9"/>
        <v>0</v>
      </c>
      <c r="J51" s="2">
        <v>52.61</v>
      </c>
      <c r="K51" s="107">
        <f t="shared" si="28"/>
        <v>0.13000000000000256</v>
      </c>
      <c r="L51" s="2">
        <v>35.049999999999997</v>
      </c>
      <c r="M51" s="107">
        <f t="shared" si="1"/>
        <v>0.11999999999999744</v>
      </c>
      <c r="N51" s="107">
        <f t="shared" si="12"/>
        <v>0</v>
      </c>
      <c r="O51" s="114">
        <v>67421</v>
      </c>
      <c r="P51" s="17">
        <f t="shared" si="29"/>
        <v>24</v>
      </c>
      <c r="Q51" s="18">
        <f t="shared" si="22"/>
        <v>6.9527999999999999</v>
      </c>
      <c r="R51" s="114">
        <v>935</v>
      </c>
      <c r="S51" s="17">
        <f t="shared" si="31"/>
        <v>2</v>
      </c>
      <c r="T51" s="17"/>
      <c r="U51" s="2">
        <v>33015</v>
      </c>
      <c r="V51" s="17">
        <f t="shared" si="23"/>
        <v>2</v>
      </c>
      <c r="W51" s="18">
        <f t="shared" si="24"/>
        <v>0.6</v>
      </c>
      <c r="X51" s="2">
        <v>11381</v>
      </c>
      <c r="Y51" s="108">
        <f t="shared" si="25"/>
        <v>9</v>
      </c>
      <c r="Z51" s="18">
        <f t="shared" si="26"/>
        <v>8.8056691285081232</v>
      </c>
      <c r="AA51" s="2">
        <v>766.4</v>
      </c>
      <c r="AB51" s="24">
        <f t="shared" si="27"/>
        <v>0.29999999999995453</v>
      </c>
      <c r="AC51" s="17"/>
      <c r="AD51" s="24">
        <f t="shared" si="32"/>
        <v>0.36999999999999744</v>
      </c>
      <c r="AE51" s="25">
        <v>125.4</v>
      </c>
      <c r="AF51" s="17">
        <f t="shared" si="33"/>
        <v>0</v>
      </c>
      <c r="AG51" s="2">
        <v>7.4</v>
      </c>
      <c r="AH51" s="29"/>
    </row>
    <row r="52" spans="1:34" x14ac:dyDescent="0.25">
      <c r="A52" s="5">
        <v>44648</v>
      </c>
      <c r="B52" s="67">
        <v>14.28</v>
      </c>
      <c r="C52" s="18">
        <f t="shared" si="20"/>
        <v>0</v>
      </c>
      <c r="D52" s="2">
        <v>3.7</v>
      </c>
      <c r="E52" s="107">
        <f t="shared" si="7"/>
        <v>1.0000000000000231E-2</v>
      </c>
      <c r="F52" s="2">
        <v>46.62</v>
      </c>
      <c r="G52" s="107">
        <f t="shared" si="8"/>
        <v>0.11999999999999744</v>
      </c>
      <c r="H52" s="2">
        <v>1.22</v>
      </c>
      <c r="I52" s="107">
        <f t="shared" si="9"/>
        <v>0</v>
      </c>
      <c r="J52" s="2">
        <v>52.79</v>
      </c>
      <c r="K52" s="107">
        <f t="shared" si="28"/>
        <v>0.17999999999999972</v>
      </c>
      <c r="L52" s="2">
        <v>35.159999999999997</v>
      </c>
      <c r="M52" s="107">
        <f t="shared" si="1"/>
        <v>0.10999999999999943</v>
      </c>
      <c r="N52" s="107">
        <f t="shared" si="12"/>
        <v>9.9999999999980105E-3</v>
      </c>
      <c r="O52" s="114">
        <v>67432</v>
      </c>
      <c r="P52" s="17">
        <f t="shared" si="29"/>
        <v>11</v>
      </c>
      <c r="Q52" s="18">
        <f t="shared" si="22"/>
        <v>3.1867000000000001</v>
      </c>
      <c r="R52" s="114">
        <v>939</v>
      </c>
      <c r="S52" s="17">
        <f t="shared" si="31"/>
        <v>4</v>
      </c>
      <c r="T52" s="17"/>
      <c r="U52" s="2">
        <v>33018</v>
      </c>
      <c r="V52" s="17">
        <f t="shared" si="23"/>
        <v>3</v>
      </c>
      <c r="W52" s="18">
        <f t="shared" si="24"/>
        <v>0.89999999999999991</v>
      </c>
      <c r="X52" s="2">
        <v>11389</v>
      </c>
      <c r="Y52" s="108">
        <f t="shared" si="25"/>
        <v>8</v>
      </c>
      <c r="Z52" s="18">
        <f t="shared" si="26"/>
        <v>7.8272614475627762</v>
      </c>
      <c r="AA52" s="2">
        <v>766.9</v>
      </c>
      <c r="AB52" s="24">
        <f t="shared" si="27"/>
        <v>0.5</v>
      </c>
      <c r="AC52" s="17"/>
      <c r="AD52" s="24">
        <f t="shared" si="32"/>
        <v>0.41999999999999682</v>
      </c>
      <c r="AE52" s="25">
        <v>125.4</v>
      </c>
      <c r="AF52" s="17">
        <f t="shared" si="33"/>
        <v>0</v>
      </c>
      <c r="AG52" s="2">
        <v>6.5</v>
      </c>
      <c r="AH52" s="29"/>
    </row>
    <row r="53" spans="1:34" x14ac:dyDescent="0.25">
      <c r="A53" s="5">
        <v>44649</v>
      </c>
      <c r="B53" s="67">
        <v>14.28</v>
      </c>
      <c r="C53" s="18">
        <f t="shared" si="20"/>
        <v>0</v>
      </c>
      <c r="D53" s="2">
        <v>3.72</v>
      </c>
      <c r="E53" s="107">
        <f t="shared" si="7"/>
        <v>2.0000000000000018E-2</v>
      </c>
      <c r="F53" s="2">
        <v>47.01</v>
      </c>
      <c r="G53" s="107">
        <f t="shared" si="8"/>
        <v>0.39000000000000057</v>
      </c>
      <c r="H53" s="2">
        <v>1.22</v>
      </c>
      <c r="I53" s="107">
        <f t="shared" si="9"/>
        <v>0</v>
      </c>
      <c r="J53" s="2">
        <v>52.91</v>
      </c>
      <c r="K53" s="107">
        <f t="shared" si="28"/>
        <v>0.11999999999999744</v>
      </c>
      <c r="L53" s="2">
        <v>35.35</v>
      </c>
      <c r="M53" s="107">
        <f t="shared" si="1"/>
        <v>0.19000000000000483</v>
      </c>
      <c r="N53" s="107">
        <f t="shared" si="12"/>
        <v>0.19999999999999574</v>
      </c>
      <c r="O53" s="114">
        <v>67440</v>
      </c>
      <c r="P53" s="17">
        <f t="shared" si="29"/>
        <v>8</v>
      </c>
      <c r="Q53" s="18">
        <f t="shared" si="22"/>
        <v>2.3176000000000001</v>
      </c>
      <c r="R53" s="114">
        <v>944</v>
      </c>
      <c r="S53" s="17">
        <f t="shared" si="31"/>
        <v>5</v>
      </c>
      <c r="T53" s="17"/>
      <c r="U53" s="2">
        <v>33018</v>
      </c>
      <c r="V53" s="17">
        <f t="shared" si="23"/>
        <v>0</v>
      </c>
      <c r="W53" s="18">
        <f t="shared" si="24"/>
        <v>0</v>
      </c>
      <c r="X53" s="2">
        <v>11399</v>
      </c>
      <c r="Y53" s="108">
        <f t="shared" si="25"/>
        <v>10</v>
      </c>
      <c r="Z53" s="18">
        <f t="shared" si="26"/>
        <v>9.7840768094534702</v>
      </c>
      <c r="AA53" s="2">
        <v>767.7</v>
      </c>
      <c r="AB53" s="24">
        <f t="shared" si="27"/>
        <v>0.80000000000006821</v>
      </c>
      <c r="AC53" s="17"/>
      <c r="AD53" s="24">
        <f t="shared" si="32"/>
        <v>0.72000000000000286</v>
      </c>
      <c r="AE53" s="25">
        <v>125.4</v>
      </c>
      <c r="AF53" s="17">
        <f t="shared" si="33"/>
        <v>0</v>
      </c>
      <c r="AG53" s="2">
        <v>6</v>
      </c>
      <c r="AH53" s="29"/>
    </row>
    <row r="54" spans="1:34" x14ac:dyDescent="0.25">
      <c r="A54" s="5">
        <v>44650</v>
      </c>
      <c r="B54" s="67">
        <v>14.28</v>
      </c>
      <c r="C54" s="18">
        <f t="shared" si="20"/>
        <v>0</v>
      </c>
      <c r="D54" s="2">
        <v>3.73</v>
      </c>
      <c r="E54" s="107">
        <f t="shared" si="7"/>
        <v>9.9999999999997868E-3</v>
      </c>
      <c r="F54" s="2">
        <v>47.14</v>
      </c>
      <c r="G54" s="107">
        <f t="shared" si="8"/>
        <v>0.13000000000000256</v>
      </c>
      <c r="H54" s="2">
        <v>1.22</v>
      </c>
      <c r="I54" s="107">
        <f t="shared" si="9"/>
        <v>0</v>
      </c>
      <c r="J54" s="2">
        <v>53.09</v>
      </c>
      <c r="K54" s="107">
        <f t="shared" si="28"/>
        <v>0.18000000000000682</v>
      </c>
      <c r="L54" s="2">
        <v>35.46</v>
      </c>
      <c r="M54" s="107">
        <f t="shared" si="1"/>
        <v>0.10999999999999943</v>
      </c>
      <c r="N54" s="107">
        <f t="shared" si="12"/>
        <v>2.0000000000003126E-2</v>
      </c>
      <c r="O54" s="114">
        <v>67453</v>
      </c>
      <c r="P54" s="17">
        <f t="shared" si="29"/>
        <v>13</v>
      </c>
      <c r="Q54" s="18">
        <f t="shared" si="22"/>
        <v>3.7661000000000002</v>
      </c>
      <c r="R54" s="114">
        <v>947</v>
      </c>
      <c r="S54" s="17">
        <f t="shared" si="31"/>
        <v>3</v>
      </c>
      <c r="T54" s="17"/>
      <c r="U54" s="2">
        <v>33020</v>
      </c>
      <c r="V54" s="17">
        <f t="shared" si="23"/>
        <v>2</v>
      </c>
      <c r="W54" s="18">
        <f t="shared" si="24"/>
        <v>0.6</v>
      </c>
      <c r="X54" s="2">
        <v>11415</v>
      </c>
      <c r="Y54" s="108">
        <f t="shared" si="25"/>
        <v>16</v>
      </c>
      <c r="Z54" s="18">
        <f t="shared" si="26"/>
        <v>15.654522895125552</v>
      </c>
      <c r="AA54" s="2">
        <v>768.5</v>
      </c>
      <c r="AB54" s="24">
        <f t="shared" si="27"/>
        <v>0.79999999999995453</v>
      </c>
      <c r="AC54" s="17"/>
      <c r="AD54" s="24">
        <f t="shared" si="32"/>
        <v>0.83000000000000007</v>
      </c>
      <c r="AE54" s="25">
        <v>125.8</v>
      </c>
      <c r="AF54" s="17">
        <f t="shared" si="33"/>
        <v>0.39999999999999147</v>
      </c>
      <c r="AG54" s="2">
        <v>3.4</v>
      </c>
      <c r="AH54" s="29"/>
    </row>
    <row r="55" spans="1:34" x14ac:dyDescent="0.25">
      <c r="A55" s="5">
        <v>44651</v>
      </c>
      <c r="B55" s="67">
        <v>14.28</v>
      </c>
      <c r="C55" s="18">
        <f t="shared" si="20"/>
        <v>0</v>
      </c>
      <c r="D55" s="2">
        <v>3.78</v>
      </c>
      <c r="E55" s="107">
        <f t="shared" si="7"/>
        <v>4.9999999999999822E-2</v>
      </c>
      <c r="F55" s="2">
        <v>47.43</v>
      </c>
      <c r="G55" s="107">
        <f t="shared" si="8"/>
        <v>0.28999999999999915</v>
      </c>
      <c r="H55" s="2">
        <v>1.26</v>
      </c>
      <c r="I55" s="107">
        <f t="shared" si="9"/>
        <v>4.0000000000000036E-2</v>
      </c>
      <c r="J55" s="2">
        <v>53.2</v>
      </c>
      <c r="K55" s="107">
        <f t="shared" si="28"/>
        <v>0.10999999999999943</v>
      </c>
      <c r="L55" s="2">
        <v>35.56</v>
      </c>
      <c r="M55" s="107">
        <f t="shared" si="1"/>
        <v>0.10000000000000142</v>
      </c>
      <c r="N55" s="107">
        <f t="shared" si="12"/>
        <v>0.18999999999999773</v>
      </c>
      <c r="O55" s="114">
        <v>67459</v>
      </c>
      <c r="P55" s="17">
        <f t="shared" si="29"/>
        <v>6</v>
      </c>
      <c r="Q55" s="18">
        <f t="shared" si="22"/>
        <v>1.7382</v>
      </c>
      <c r="R55" s="114">
        <v>951</v>
      </c>
      <c r="S55" s="17">
        <f t="shared" si="31"/>
        <v>4</v>
      </c>
      <c r="T55" s="17"/>
      <c r="U55" s="2">
        <v>33021</v>
      </c>
      <c r="V55" s="17">
        <f t="shared" si="23"/>
        <v>1</v>
      </c>
      <c r="W55" s="18">
        <f t="shared" si="24"/>
        <v>0.3</v>
      </c>
      <c r="X55" s="2">
        <v>11429</v>
      </c>
      <c r="Y55" s="108">
        <f t="shared" si="25"/>
        <v>14</v>
      </c>
      <c r="Z55" s="18">
        <f t="shared" si="26"/>
        <v>13.697707533234858</v>
      </c>
      <c r="AA55" s="2">
        <v>769.1</v>
      </c>
      <c r="AB55" s="24">
        <f t="shared" si="27"/>
        <v>0.60000000000002274</v>
      </c>
      <c r="AC55" s="17"/>
      <c r="AD55" s="24">
        <f t="shared" si="32"/>
        <v>0.58999999999999986</v>
      </c>
      <c r="AE55" s="25">
        <v>125.8</v>
      </c>
      <c r="AF55" s="17">
        <f t="shared" si="33"/>
        <v>0</v>
      </c>
      <c r="AG55" s="2">
        <v>2.5</v>
      </c>
      <c r="AH55" s="29"/>
    </row>
    <row r="56" spans="1:34" s="60" customFormat="1" x14ac:dyDescent="0.25">
      <c r="A56" s="32" t="s">
        <v>100</v>
      </c>
      <c r="B56" s="66"/>
      <c r="C56" s="34">
        <f>SUM(C25:C55)</f>
        <v>0.67999999999999972</v>
      </c>
      <c r="D56" s="61" t="s">
        <v>63</v>
      </c>
      <c r="E56" s="66">
        <f t="shared" ref="E56:K56" si="34">SUM(E25:E55)</f>
        <v>0.87999999999999989</v>
      </c>
      <c r="F56" s="61" t="s">
        <v>63</v>
      </c>
      <c r="G56" s="66">
        <f t="shared" si="34"/>
        <v>6.7299999999999969</v>
      </c>
      <c r="H56" s="61" t="s">
        <v>63</v>
      </c>
      <c r="I56" s="66">
        <f t="shared" si="34"/>
        <v>0.37</v>
      </c>
      <c r="J56" s="61" t="s">
        <v>63</v>
      </c>
      <c r="K56" s="66">
        <f t="shared" si="34"/>
        <v>5</v>
      </c>
      <c r="L56" s="61" t="s">
        <v>63</v>
      </c>
      <c r="M56" s="66">
        <f>SUM(M25:M55)</f>
        <v>3.9600000000000009</v>
      </c>
      <c r="N56" s="66">
        <f>SUM(N25:N55)</f>
        <v>2.769999999999996</v>
      </c>
      <c r="O56" s="116"/>
      <c r="P56" s="33">
        <f>SUM(P25:P55)</f>
        <v>497</v>
      </c>
      <c r="Q56" s="109">
        <f>SUM(Q25:Q55)</f>
        <v>143.98090000000002</v>
      </c>
      <c r="R56" s="116" t="s">
        <v>63</v>
      </c>
      <c r="S56" s="34">
        <f>SUM(S25:S55)</f>
        <v>117</v>
      </c>
      <c r="T56" s="34"/>
      <c r="U56" s="34"/>
      <c r="V56" s="34">
        <f>SUM(V25:V55)</f>
        <v>94</v>
      </c>
      <c r="W56" s="109">
        <f>SUM(W25:W55)</f>
        <v>28.200000000000003</v>
      </c>
      <c r="X56" s="34"/>
      <c r="Y56" s="129">
        <f>SUM(Y25:Y55)</f>
        <v>497</v>
      </c>
      <c r="Z56" s="109">
        <f>SUM(Z25:Z55)</f>
        <v>486.26861742983749</v>
      </c>
      <c r="AA56" s="34"/>
      <c r="AB56" s="61">
        <f>SUM(AB25:AB55)</f>
        <v>20.700000000000045</v>
      </c>
      <c r="AC56" s="34"/>
      <c r="AD56" s="34"/>
      <c r="AE56" s="61"/>
      <c r="AF56" s="34"/>
      <c r="AG56" s="34"/>
      <c r="AH56" s="57"/>
    </row>
    <row r="57" spans="1:34" x14ac:dyDescent="0.25">
      <c r="A57" s="5">
        <v>44652</v>
      </c>
      <c r="B57" s="67">
        <v>14.28</v>
      </c>
      <c r="C57" s="18">
        <f>B57-B55</f>
        <v>0</v>
      </c>
      <c r="D57" s="2">
        <v>3.82</v>
      </c>
      <c r="E57" s="107">
        <f>D57-D55</f>
        <v>4.0000000000000036E-2</v>
      </c>
      <c r="F57" s="2">
        <v>47.7</v>
      </c>
      <c r="G57" s="107">
        <f>F57-F55</f>
        <v>0.27000000000000313</v>
      </c>
      <c r="H57" s="2">
        <v>1.27</v>
      </c>
      <c r="I57" s="107">
        <f>H57-H55</f>
        <v>1.0000000000000009E-2</v>
      </c>
      <c r="J57" s="2">
        <v>53.37</v>
      </c>
      <c r="K57" s="107">
        <f>J57-J55</f>
        <v>0.1699999999999946</v>
      </c>
      <c r="L57" s="2">
        <v>35.68</v>
      </c>
      <c r="M57" s="107">
        <f>L57-L55</f>
        <v>0.11999999999999744</v>
      </c>
      <c r="N57" s="107">
        <f>G57-M57</f>
        <v>0.15000000000000568</v>
      </c>
      <c r="O57" s="114">
        <v>67471</v>
      </c>
      <c r="P57" s="17">
        <f>O57-O55</f>
        <v>12</v>
      </c>
      <c r="Q57" s="18">
        <f t="shared" ref="Q57:Q63" si="35">P57*$C$2</f>
        <v>3.4763999999999999</v>
      </c>
      <c r="R57" s="114">
        <v>955</v>
      </c>
      <c r="S57" s="17">
        <f>R57-R55</f>
        <v>4</v>
      </c>
      <c r="T57" s="17"/>
      <c r="U57" s="2">
        <v>33022</v>
      </c>
      <c r="V57" s="17">
        <f>U57-U55</f>
        <v>1</v>
      </c>
      <c r="W57" s="18">
        <f t="shared" ref="W57:W82" si="36">V57*$C$3</f>
        <v>0.3</v>
      </c>
      <c r="X57" s="2">
        <v>11446</v>
      </c>
      <c r="Y57" s="108">
        <f>X57-X55</f>
        <v>17</v>
      </c>
      <c r="Z57" s="18">
        <f t="shared" ref="Z57:Z82" si="37">Y57*$C$5*$G$4</f>
        <v>16.632930576070901</v>
      </c>
      <c r="AA57" s="2">
        <v>769.6</v>
      </c>
      <c r="AB57" s="24">
        <f>AA57-AA55</f>
        <v>0.5</v>
      </c>
      <c r="AC57" s="17"/>
      <c r="AD57" s="24">
        <f t="shared" ref="AD57:AD73" si="38">C57+E57+G57+I57+K57+M57+AF57</f>
        <v>0.60999999999999521</v>
      </c>
      <c r="AE57" s="25">
        <v>125.8</v>
      </c>
      <c r="AF57" s="17">
        <f>AE57-AE55</f>
        <v>0</v>
      </c>
      <c r="AG57" s="2">
        <v>2.9</v>
      </c>
      <c r="AH57" s="29"/>
    </row>
    <row r="58" spans="1:34" x14ac:dyDescent="0.25">
      <c r="A58" s="5">
        <v>44653</v>
      </c>
      <c r="B58" s="67">
        <v>14.28</v>
      </c>
      <c r="C58" s="18">
        <f t="shared" si="20"/>
        <v>0</v>
      </c>
      <c r="D58" s="2">
        <v>3.85</v>
      </c>
      <c r="E58" s="107">
        <f t="shared" si="7"/>
        <v>3.0000000000000249E-2</v>
      </c>
      <c r="F58" s="2">
        <v>47.81</v>
      </c>
      <c r="G58" s="107">
        <f t="shared" si="8"/>
        <v>0.10999999999999943</v>
      </c>
      <c r="H58" s="2">
        <v>1.29</v>
      </c>
      <c r="I58" s="107">
        <f t="shared" si="9"/>
        <v>2.0000000000000018E-2</v>
      </c>
      <c r="J58" s="2">
        <v>53.48</v>
      </c>
      <c r="K58" s="107">
        <f t="shared" si="28"/>
        <v>0.10999999999999943</v>
      </c>
      <c r="L58" s="2">
        <v>35.76</v>
      </c>
      <c r="M58" s="107">
        <f t="shared" si="1"/>
        <v>7.9999999999998295E-2</v>
      </c>
      <c r="N58" s="107">
        <f t="shared" ref="N58:N86" si="39">G58-M58</f>
        <v>3.0000000000001137E-2</v>
      </c>
      <c r="O58" s="114">
        <v>67479</v>
      </c>
      <c r="P58" s="17">
        <f t="shared" ref="P58:P66" si="40">O58-O57</f>
        <v>8</v>
      </c>
      <c r="Q58" s="18">
        <f t="shared" si="35"/>
        <v>2.3176000000000001</v>
      </c>
      <c r="R58" s="114">
        <v>958</v>
      </c>
      <c r="S58" s="17">
        <f t="shared" ref="S58:S82" si="41">R58-R57</f>
        <v>3</v>
      </c>
      <c r="T58" s="17"/>
      <c r="U58" s="2">
        <v>33023</v>
      </c>
      <c r="V58" s="17">
        <f t="shared" ref="V58:V82" si="42">U58-U57</f>
        <v>1</v>
      </c>
      <c r="W58" s="18">
        <f t="shared" si="36"/>
        <v>0.3</v>
      </c>
      <c r="X58" s="2">
        <v>11467</v>
      </c>
      <c r="Y58" s="108">
        <f t="shared" ref="Y58:Y83" si="43">X58-X57</f>
        <v>21</v>
      </c>
      <c r="Z58" s="18">
        <f t="shared" si="37"/>
        <v>20.546561299852289</v>
      </c>
      <c r="AA58" s="2">
        <v>770</v>
      </c>
      <c r="AB58" s="24">
        <f t="shared" ref="AB58:AB82" si="44">AA58-AA57</f>
        <v>0.39999999999997726</v>
      </c>
      <c r="AC58" s="17"/>
      <c r="AD58" s="24">
        <f t="shared" si="38"/>
        <v>0.34999999999999742</v>
      </c>
      <c r="AE58" s="25">
        <v>125.8</v>
      </c>
      <c r="AF58" s="17">
        <f t="shared" si="33"/>
        <v>0</v>
      </c>
      <c r="AG58" s="2">
        <v>2.2000000000000002</v>
      </c>
      <c r="AH58" s="29"/>
    </row>
    <row r="59" spans="1:34" x14ac:dyDescent="0.25">
      <c r="A59" s="5">
        <v>44654</v>
      </c>
      <c r="B59" s="67">
        <v>14.3</v>
      </c>
      <c r="C59" s="18">
        <f t="shared" si="20"/>
        <v>2.000000000000135E-2</v>
      </c>
      <c r="D59" s="2">
        <v>3.93</v>
      </c>
      <c r="E59" s="107">
        <f t="shared" si="7"/>
        <v>8.0000000000000071E-2</v>
      </c>
      <c r="F59" s="2">
        <v>48.22</v>
      </c>
      <c r="G59" s="107">
        <f t="shared" si="8"/>
        <v>0.40999999999999659</v>
      </c>
      <c r="H59" s="2">
        <v>1.31</v>
      </c>
      <c r="I59" s="107">
        <f t="shared" si="9"/>
        <v>2.0000000000000018E-2</v>
      </c>
      <c r="J59" s="2">
        <v>53.68</v>
      </c>
      <c r="K59" s="107">
        <f t="shared" si="28"/>
        <v>0.20000000000000284</v>
      </c>
      <c r="L59" s="2">
        <v>36.01</v>
      </c>
      <c r="M59" s="107">
        <f t="shared" si="1"/>
        <v>0.25</v>
      </c>
      <c r="N59" s="107">
        <f t="shared" si="39"/>
        <v>0.15999999999999659</v>
      </c>
      <c r="O59" s="114">
        <v>67497</v>
      </c>
      <c r="P59" s="17">
        <f t="shared" si="40"/>
        <v>18</v>
      </c>
      <c r="Q59" s="18">
        <f t="shared" si="35"/>
        <v>5.2145999999999999</v>
      </c>
      <c r="R59" s="114">
        <v>961</v>
      </c>
      <c r="S59" s="17">
        <f t="shared" si="41"/>
        <v>3</v>
      </c>
      <c r="T59" s="17"/>
      <c r="U59" s="2">
        <v>33031</v>
      </c>
      <c r="V59" s="17">
        <f t="shared" si="42"/>
        <v>8</v>
      </c>
      <c r="W59" s="18">
        <f t="shared" si="36"/>
        <v>2.4</v>
      </c>
      <c r="X59" s="2">
        <v>11488</v>
      </c>
      <c r="Y59" s="108">
        <f t="shared" si="43"/>
        <v>21</v>
      </c>
      <c r="Z59" s="18">
        <f t="shared" si="37"/>
        <v>20.546561299852289</v>
      </c>
      <c r="AA59" s="2">
        <v>771.2</v>
      </c>
      <c r="AB59" s="24">
        <f t="shared" si="44"/>
        <v>1.2000000000000455</v>
      </c>
      <c r="AC59" s="17"/>
      <c r="AD59" s="24">
        <f t="shared" si="38"/>
        <v>0.98000000000000087</v>
      </c>
      <c r="AE59" s="25">
        <v>125.8</v>
      </c>
      <c r="AF59" s="17">
        <f t="shared" si="33"/>
        <v>0</v>
      </c>
      <c r="AG59" s="2">
        <v>2.5</v>
      </c>
      <c r="AH59" s="29"/>
    </row>
    <row r="60" spans="1:34" x14ac:dyDescent="0.25">
      <c r="A60" s="5">
        <v>44655</v>
      </c>
      <c r="B60" s="67">
        <v>14.34</v>
      </c>
      <c r="C60" s="18">
        <f t="shared" si="20"/>
        <v>3.9999999999999147E-2</v>
      </c>
      <c r="D60" s="2">
        <v>3.98</v>
      </c>
      <c r="E60" s="107">
        <f t="shared" si="7"/>
        <v>4.9999999999999822E-2</v>
      </c>
      <c r="F60" s="2">
        <v>48.48</v>
      </c>
      <c r="G60" s="107">
        <f t="shared" si="8"/>
        <v>0.25999999999999801</v>
      </c>
      <c r="H60" s="2">
        <v>1.35</v>
      </c>
      <c r="I60" s="107">
        <f t="shared" si="9"/>
        <v>4.0000000000000036E-2</v>
      </c>
      <c r="J60" s="2">
        <v>53.83</v>
      </c>
      <c r="K60" s="107">
        <f t="shared" si="28"/>
        <v>0.14999999999999858</v>
      </c>
      <c r="L60" s="2">
        <v>36.11</v>
      </c>
      <c r="M60" s="107">
        <f t="shared" ref="M60:M82" si="45">L60-L59</f>
        <v>0.10000000000000142</v>
      </c>
      <c r="N60" s="107">
        <f t="shared" si="39"/>
        <v>0.15999999999999659</v>
      </c>
      <c r="O60" s="114">
        <v>67514</v>
      </c>
      <c r="P60" s="17">
        <f t="shared" si="40"/>
        <v>17</v>
      </c>
      <c r="Q60" s="18">
        <f t="shared" si="35"/>
        <v>4.9249000000000001</v>
      </c>
      <c r="R60" s="114">
        <v>969</v>
      </c>
      <c r="S60" s="17">
        <f t="shared" si="41"/>
        <v>8</v>
      </c>
      <c r="T60" s="17"/>
      <c r="U60" s="2">
        <v>33043</v>
      </c>
      <c r="V60" s="17">
        <f t="shared" si="42"/>
        <v>12</v>
      </c>
      <c r="W60" s="18">
        <f t="shared" si="36"/>
        <v>3.5999999999999996</v>
      </c>
      <c r="X60" s="2">
        <v>11506</v>
      </c>
      <c r="Y60" s="108">
        <f t="shared" si="43"/>
        <v>18</v>
      </c>
      <c r="Z60" s="18">
        <f t="shared" si="37"/>
        <v>17.611338257016246</v>
      </c>
      <c r="AA60" s="2">
        <v>772.36</v>
      </c>
      <c r="AB60" s="24">
        <f t="shared" si="44"/>
        <v>1.1599999999999682</v>
      </c>
      <c r="AC60" s="17"/>
      <c r="AD60" s="24">
        <f t="shared" si="38"/>
        <v>0.63999999999999702</v>
      </c>
      <c r="AE60" s="25">
        <v>125.8</v>
      </c>
      <c r="AF60" s="17">
        <f t="shared" si="33"/>
        <v>0</v>
      </c>
      <c r="AG60" s="2">
        <v>4.4000000000000004</v>
      </c>
      <c r="AH60" s="29"/>
    </row>
    <row r="61" spans="1:34" x14ac:dyDescent="0.25">
      <c r="A61" s="5">
        <v>44656</v>
      </c>
      <c r="B61" s="67">
        <v>14.38</v>
      </c>
      <c r="C61" s="18">
        <f t="shared" si="20"/>
        <v>4.0000000000000924E-2</v>
      </c>
      <c r="D61" s="2">
        <v>4</v>
      </c>
      <c r="E61" s="107">
        <f t="shared" si="7"/>
        <v>2.0000000000000018E-2</v>
      </c>
      <c r="F61" s="2">
        <v>48.62</v>
      </c>
      <c r="G61" s="107">
        <f t="shared" si="8"/>
        <v>0.14000000000000057</v>
      </c>
      <c r="H61" s="2">
        <v>1.36</v>
      </c>
      <c r="I61" s="107">
        <f t="shared" si="9"/>
        <v>1.0000000000000009E-2</v>
      </c>
      <c r="J61" s="2">
        <v>53.94</v>
      </c>
      <c r="K61" s="107">
        <f t="shared" si="28"/>
        <v>0.10999999999999943</v>
      </c>
      <c r="L61" s="2">
        <v>36.21</v>
      </c>
      <c r="M61" s="107">
        <f t="shared" si="45"/>
        <v>0.10000000000000142</v>
      </c>
      <c r="N61" s="107">
        <f t="shared" si="39"/>
        <v>3.9999999999999147E-2</v>
      </c>
      <c r="O61" s="114">
        <v>67525</v>
      </c>
      <c r="P61" s="17">
        <f t="shared" si="40"/>
        <v>11</v>
      </c>
      <c r="Q61" s="18">
        <f t="shared" si="35"/>
        <v>3.1867000000000001</v>
      </c>
      <c r="R61" s="114">
        <v>973</v>
      </c>
      <c r="S61" s="17">
        <f t="shared" si="41"/>
        <v>4</v>
      </c>
      <c r="T61" s="17"/>
      <c r="U61" s="2">
        <v>33048</v>
      </c>
      <c r="V61" s="17">
        <f t="shared" si="42"/>
        <v>5</v>
      </c>
      <c r="W61" s="18">
        <f t="shared" si="36"/>
        <v>1.5</v>
      </c>
      <c r="X61" s="2">
        <v>11526</v>
      </c>
      <c r="Y61" s="108">
        <f t="shared" si="43"/>
        <v>20</v>
      </c>
      <c r="Z61" s="18">
        <f t="shared" si="37"/>
        <v>19.56815361890694</v>
      </c>
      <c r="AA61" s="2">
        <v>772.86</v>
      </c>
      <c r="AB61" s="24">
        <f t="shared" si="44"/>
        <v>0.5</v>
      </c>
      <c r="AC61" s="17"/>
      <c r="AD61" s="24">
        <f t="shared" si="38"/>
        <v>0.42000000000000237</v>
      </c>
      <c r="AE61" s="25">
        <v>125.8</v>
      </c>
      <c r="AF61" s="17">
        <f t="shared" si="33"/>
        <v>0</v>
      </c>
      <c r="AG61" s="2">
        <v>4.9000000000000004</v>
      </c>
      <c r="AH61" s="29"/>
    </row>
    <row r="62" spans="1:34" x14ac:dyDescent="0.25">
      <c r="A62" s="5">
        <v>44657</v>
      </c>
      <c r="B62" s="67">
        <v>14.43</v>
      </c>
      <c r="C62" s="18">
        <f t="shared" si="20"/>
        <v>4.9999999999998934E-2</v>
      </c>
      <c r="D62" s="2">
        <v>4.0199999999999996</v>
      </c>
      <c r="E62" s="107">
        <f t="shared" si="7"/>
        <v>1.9999999999999574E-2</v>
      </c>
      <c r="F62" s="2">
        <v>49.11</v>
      </c>
      <c r="G62" s="107">
        <f t="shared" si="8"/>
        <v>0.49000000000000199</v>
      </c>
      <c r="H62" s="2">
        <v>1.37</v>
      </c>
      <c r="I62" s="107">
        <f t="shared" si="9"/>
        <v>1.0000000000000009E-2</v>
      </c>
      <c r="J62" s="2">
        <v>54.13</v>
      </c>
      <c r="K62" s="107">
        <f t="shared" si="28"/>
        <v>0.19000000000000483</v>
      </c>
      <c r="L62" s="2">
        <v>36.44</v>
      </c>
      <c r="M62" s="107">
        <f t="shared" si="45"/>
        <v>0.22999999999999687</v>
      </c>
      <c r="N62" s="107">
        <f t="shared" si="39"/>
        <v>0.26000000000000512</v>
      </c>
      <c r="O62" s="114">
        <v>67551</v>
      </c>
      <c r="P62" s="17">
        <f t="shared" si="40"/>
        <v>26</v>
      </c>
      <c r="Q62" s="18">
        <f t="shared" si="35"/>
        <v>7.5322000000000005</v>
      </c>
      <c r="R62" s="114">
        <v>976</v>
      </c>
      <c r="S62" s="17">
        <f t="shared" si="41"/>
        <v>3</v>
      </c>
      <c r="T62" s="17"/>
      <c r="U62" s="2">
        <v>33053</v>
      </c>
      <c r="V62" s="17">
        <f t="shared" si="42"/>
        <v>5</v>
      </c>
      <c r="W62" s="18">
        <f t="shared" si="36"/>
        <v>1.5</v>
      </c>
      <c r="X62" s="2">
        <v>11545</v>
      </c>
      <c r="Y62" s="108">
        <f t="shared" si="43"/>
        <v>19</v>
      </c>
      <c r="Z62" s="18">
        <f t="shared" si="37"/>
        <v>18.589745937961592</v>
      </c>
      <c r="AA62" s="2">
        <v>773.94</v>
      </c>
      <c r="AB62" s="24">
        <f t="shared" si="44"/>
        <v>1.0800000000000409</v>
      </c>
      <c r="AC62" s="17"/>
      <c r="AD62" s="24">
        <f t="shared" si="38"/>
        <v>0.99000000000000221</v>
      </c>
      <c r="AE62" s="25">
        <v>125.8</v>
      </c>
      <c r="AF62" s="17">
        <f t="shared" si="33"/>
        <v>0</v>
      </c>
      <c r="AG62" s="2">
        <v>8.3000000000000007</v>
      </c>
      <c r="AH62" s="29"/>
    </row>
    <row r="63" spans="1:34" x14ac:dyDescent="0.25">
      <c r="A63" s="5">
        <v>44658</v>
      </c>
      <c r="B63" s="67">
        <v>14.48</v>
      </c>
      <c r="C63" s="18">
        <f t="shared" si="20"/>
        <v>5.0000000000000711E-2</v>
      </c>
      <c r="D63" s="2">
        <v>4.05</v>
      </c>
      <c r="E63" s="107">
        <f t="shared" si="7"/>
        <v>3.0000000000000249E-2</v>
      </c>
      <c r="F63" s="2">
        <v>49.24</v>
      </c>
      <c r="G63" s="107">
        <f t="shared" si="8"/>
        <v>0.13000000000000256</v>
      </c>
      <c r="H63" s="2">
        <v>1.37</v>
      </c>
      <c r="I63" s="107">
        <f t="shared" si="9"/>
        <v>0</v>
      </c>
      <c r="J63" s="2">
        <v>54.28</v>
      </c>
      <c r="K63" s="107">
        <f t="shared" si="28"/>
        <v>0.14999999999999858</v>
      </c>
      <c r="L63" s="2">
        <v>36.54</v>
      </c>
      <c r="M63" s="107">
        <f t="shared" si="45"/>
        <v>0.10000000000000142</v>
      </c>
      <c r="N63" s="107">
        <f t="shared" si="39"/>
        <v>3.0000000000001137E-2</v>
      </c>
      <c r="O63" s="114">
        <v>67567</v>
      </c>
      <c r="P63" s="17">
        <f t="shared" si="40"/>
        <v>16</v>
      </c>
      <c r="Q63" s="18">
        <f t="shared" si="35"/>
        <v>4.6352000000000002</v>
      </c>
      <c r="R63" s="114">
        <v>981</v>
      </c>
      <c r="S63" s="17">
        <f t="shared" si="41"/>
        <v>5</v>
      </c>
      <c r="T63" s="17"/>
      <c r="U63" s="2">
        <v>33059</v>
      </c>
      <c r="V63" s="17">
        <f t="shared" si="42"/>
        <v>6</v>
      </c>
      <c r="W63" s="18">
        <f t="shared" si="36"/>
        <v>1.7999999999999998</v>
      </c>
      <c r="X63" s="2">
        <v>11561</v>
      </c>
      <c r="Y63" s="108">
        <f t="shared" si="43"/>
        <v>16</v>
      </c>
      <c r="Z63" s="18">
        <f t="shared" si="37"/>
        <v>15.654522895125552</v>
      </c>
      <c r="AA63" s="2">
        <v>774.5</v>
      </c>
      <c r="AB63" s="24">
        <f t="shared" si="44"/>
        <v>0.55999999999994543</v>
      </c>
      <c r="AC63" s="17"/>
      <c r="AD63" s="24">
        <f t="shared" si="38"/>
        <v>0.46000000000000352</v>
      </c>
      <c r="AE63" s="25">
        <v>125.8</v>
      </c>
      <c r="AF63" s="17">
        <f t="shared" si="33"/>
        <v>0</v>
      </c>
      <c r="AG63" s="2">
        <v>7.7</v>
      </c>
      <c r="AH63" s="29"/>
    </row>
    <row r="64" spans="1:34" x14ac:dyDescent="0.25">
      <c r="A64" s="5">
        <v>44659</v>
      </c>
      <c r="B64" s="67">
        <v>14.55</v>
      </c>
      <c r="C64" s="18">
        <f t="shared" si="20"/>
        <v>7.0000000000000284E-2</v>
      </c>
      <c r="D64" s="2">
        <v>4.05</v>
      </c>
      <c r="E64" s="107">
        <f t="shared" si="7"/>
        <v>0</v>
      </c>
      <c r="F64" s="2">
        <v>49.52</v>
      </c>
      <c r="G64" s="107">
        <f t="shared" si="8"/>
        <v>0.28000000000000114</v>
      </c>
      <c r="H64" s="2">
        <v>1.37</v>
      </c>
      <c r="I64" s="107">
        <f t="shared" si="9"/>
        <v>0</v>
      </c>
      <c r="J64" s="2">
        <v>54.42</v>
      </c>
      <c r="K64" s="107">
        <f t="shared" si="28"/>
        <v>0.14000000000000057</v>
      </c>
      <c r="L64" s="2">
        <v>36.630000000000003</v>
      </c>
      <c r="M64" s="107">
        <f t="shared" si="45"/>
        <v>9.0000000000003411E-2</v>
      </c>
      <c r="N64" s="107">
        <f t="shared" si="39"/>
        <v>0.18999999999999773</v>
      </c>
      <c r="O64" s="114">
        <v>67580</v>
      </c>
      <c r="P64" s="17">
        <f t="shared" si="40"/>
        <v>13</v>
      </c>
      <c r="Q64" s="18">
        <f t="shared" ref="Q64:Q82" si="46">P64*$C$2</f>
        <v>3.7661000000000002</v>
      </c>
      <c r="R64" s="114">
        <v>985</v>
      </c>
      <c r="S64" s="17">
        <f t="shared" si="41"/>
        <v>4</v>
      </c>
      <c r="T64" s="17"/>
      <c r="U64" s="2">
        <v>33066</v>
      </c>
      <c r="V64" s="17">
        <f t="shared" si="42"/>
        <v>7</v>
      </c>
      <c r="W64" s="18">
        <f t="shared" si="36"/>
        <v>2.1</v>
      </c>
      <c r="X64" s="2">
        <v>11579</v>
      </c>
      <c r="Y64" s="108">
        <f t="shared" si="43"/>
        <v>18</v>
      </c>
      <c r="Z64" s="18">
        <f t="shared" si="37"/>
        <v>17.611338257016246</v>
      </c>
      <c r="AA64" s="2">
        <v>775.4</v>
      </c>
      <c r="AB64" s="24">
        <f t="shared" si="44"/>
        <v>0.89999999999997726</v>
      </c>
      <c r="AC64" s="17"/>
      <c r="AD64" s="24">
        <f t="shared" si="38"/>
        <v>0.5800000000000054</v>
      </c>
      <c r="AE64" s="25">
        <v>125.8</v>
      </c>
      <c r="AF64" s="17">
        <f t="shared" si="33"/>
        <v>0</v>
      </c>
      <c r="AG64" s="2">
        <v>5.6</v>
      </c>
      <c r="AH64" s="29"/>
    </row>
    <row r="65" spans="1:34" x14ac:dyDescent="0.25">
      <c r="A65" s="5">
        <v>44660</v>
      </c>
      <c r="B65" s="67">
        <v>14.72</v>
      </c>
      <c r="C65" s="18">
        <f t="shared" si="20"/>
        <v>0.16999999999999993</v>
      </c>
      <c r="D65" s="2">
        <v>4.12</v>
      </c>
      <c r="E65" s="107">
        <f t="shared" si="7"/>
        <v>7.0000000000000284E-2</v>
      </c>
      <c r="F65" s="2">
        <v>49.72</v>
      </c>
      <c r="G65" s="107">
        <f t="shared" si="8"/>
        <v>0.19999999999999574</v>
      </c>
      <c r="H65" s="2">
        <v>1.39</v>
      </c>
      <c r="I65" s="107">
        <f t="shared" si="9"/>
        <v>1.9999999999999796E-2</v>
      </c>
      <c r="J65" s="2">
        <v>54.62</v>
      </c>
      <c r="K65" s="107">
        <f t="shared" si="28"/>
        <v>0.19999999999999574</v>
      </c>
      <c r="L65" s="2">
        <v>36.78</v>
      </c>
      <c r="M65" s="107">
        <f t="shared" si="45"/>
        <v>0.14999999999999858</v>
      </c>
      <c r="N65" s="107">
        <f t="shared" si="39"/>
        <v>4.9999999999997158E-2</v>
      </c>
      <c r="O65" s="114">
        <v>67594</v>
      </c>
      <c r="P65" s="17">
        <f t="shared" si="40"/>
        <v>14</v>
      </c>
      <c r="Q65" s="18">
        <f t="shared" si="46"/>
        <v>4.0558000000000005</v>
      </c>
      <c r="R65" s="114">
        <v>987</v>
      </c>
      <c r="S65" s="17">
        <f t="shared" si="41"/>
        <v>2</v>
      </c>
      <c r="T65" s="17"/>
      <c r="U65" s="2">
        <v>33079</v>
      </c>
      <c r="V65" s="17">
        <f t="shared" si="42"/>
        <v>13</v>
      </c>
      <c r="W65" s="18">
        <f t="shared" si="36"/>
        <v>3.9</v>
      </c>
      <c r="X65" s="2">
        <v>11603</v>
      </c>
      <c r="Y65" s="108">
        <f t="shared" si="43"/>
        <v>24</v>
      </c>
      <c r="Z65" s="18">
        <f t="shared" si="37"/>
        <v>23.481784342688329</v>
      </c>
      <c r="AA65" s="2">
        <v>776.4</v>
      </c>
      <c r="AB65" s="24">
        <f t="shared" si="44"/>
        <v>1</v>
      </c>
      <c r="AC65" s="17"/>
      <c r="AD65" s="24">
        <f t="shared" si="38"/>
        <v>0.80999999999999006</v>
      </c>
      <c r="AE65" s="25">
        <v>125.8</v>
      </c>
      <c r="AF65" s="17">
        <f t="shared" si="33"/>
        <v>0</v>
      </c>
      <c r="AG65" s="2">
        <v>4.3</v>
      </c>
      <c r="AH65" s="29"/>
    </row>
    <row r="66" spans="1:34" x14ac:dyDescent="0.25">
      <c r="A66" s="5">
        <v>44661</v>
      </c>
      <c r="B66" s="67">
        <v>14.78</v>
      </c>
      <c r="C66" s="18">
        <f t="shared" si="20"/>
        <v>5.9999999999998721E-2</v>
      </c>
      <c r="D66" s="2">
        <v>4.1399999999999997</v>
      </c>
      <c r="E66" s="107">
        <f t="shared" si="7"/>
        <v>1.9999999999999574E-2</v>
      </c>
      <c r="F66" s="2">
        <v>49.9</v>
      </c>
      <c r="G66" s="107">
        <f t="shared" si="8"/>
        <v>0.17999999999999972</v>
      </c>
      <c r="H66" s="2">
        <v>1.4</v>
      </c>
      <c r="I66" s="107">
        <f t="shared" si="9"/>
        <v>1.0000000000000009E-2</v>
      </c>
      <c r="J66" s="2">
        <v>54.77</v>
      </c>
      <c r="K66" s="107">
        <f t="shared" si="28"/>
        <v>0.15000000000000568</v>
      </c>
      <c r="L66" s="2">
        <v>36.94</v>
      </c>
      <c r="M66" s="107">
        <f t="shared" si="45"/>
        <v>0.15999999999999659</v>
      </c>
      <c r="N66" s="107">
        <f t="shared" si="39"/>
        <v>2.0000000000003126E-2</v>
      </c>
      <c r="O66" s="114">
        <v>67609</v>
      </c>
      <c r="P66" s="17">
        <f t="shared" si="40"/>
        <v>15</v>
      </c>
      <c r="Q66" s="18">
        <f t="shared" si="46"/>
        <v>4.3455000000000004</v>
      </c>
      <c r="R66" s="114">
        <v>992</v>
      </c>
      <c r="S66" s="17">
        <f t="shared" si="41"/>
        <v>5</v>
      </c>
      <c r="T66" s="17"/>
      <c r="U66" s="2">
        <v>33088</v>
      </c>
      <c r="V66" s="17">
        <f t="shared" si="42"/>
        <v>9</v>
      </c>
      <c r="W66" s="18">
        <f t="shared" si="36"/>
        <v>2.6999999999999997</v>
      </c>
      <c r="X66" s="2">
        <v>11619</v>
      </c>
      <c r="Y66" s="108">
        <f t="shared" si="43"/>
        <v>16</v>
      </c>
      <c r="Z66" s="18">
        <f t="shared" si="37"/>
        <v>15.654522895125552</v>
      </c>
      <c r="AA66" s="2">
        <v>777.2</v>
      </c>
      <c r="AB66" s="24">
        <f t="shared" si="44"/>
        <v>0.80000000000006821</v>
      </c>
      <c r="AC66" s="17"/>
      <c r="AD66" s="24">
        <f t="shared" si="38"/>
        <v>0.58000000000000029</v>
      </c>
      <c r="AE66" s="25">
        <v>125.8</v>
      </c>
      <c r="AF66" s="17">
        <f t="shared" si="33"/>
        <v>0</v>
      </c>
      <c r="AG66" s="2">
        <v>4.5</v>
      </c>
      <c r="AH66" s="29"/>
    </row>
    <row r="67" spans="1:34" x14ac:dyDescent="0.25">
      <c r="A67" s="5">
        <v>44662</v>
      </c>
      <c r="B67" s="67">
        <v>14.84</v>
      </c>
      <c r="C67" s="18">
        <f t="shared" si="20"/>
        <v>6.0000000000000497E-2</v>
      </c>
      <c r="D67" s="2">
        <v>4.18</v>
      </c>
      <c r="E67" s="107">
        <f t="shared" si="7"/>
        <v>4.0000000000000036E-2</v>
      </c>
      <c r="F67" s="2">
        <v>50.26</v>
      </c>
      <c r="G67" s="107">
        <f t="shared" si="8"/>
        <v>0.35999999999999943</v>
      </c>
      <c r="H67" s="2">
        <v>1.4</v>
      </c>
      <c r="I67" s="107">
        <f t="shared" si="9"/>
        <v>0</v>
      </c>
      <c r="J67" s="2">
        <v>54.93</v>
      </c>
      <c r="K67" s="107">
        <f t="shared" si="28"/>
        <v>0.15999999999999659</v>
      </c>
      <c r="L67" s="2">
        <v>37.08</v>
      </c>
      <c r="M67" s="107">
        <f t="shared" si="45"/>
        <v>0.14000000000000057</v>
      </c>
      <c r="N67" s="107">
        <f t="shared" si="39"/>
        <v>0.21999999999999886</v>
      </c>
      <c r="O67" s="114">
        <v>67618</v>
      </c>
      <c r="P67" s="17">
        <f t="shared" ref="P67:P82" si="47">O67-O66</f>
        <v>9</v>
      </c>
      <c r="Q67" s="18">
        <f t="shared" si="46"/>
        <v>2.6073</v>
      </c>
      <c r="R67" s="114">
        <v>999</v>
      </c>
      <c r="S67" s="17">
        <f t="shared" si="41"/>
        <v>7</v>
      </c>
      <c r="T67" s="17"/>
      <c r="U67" s="2">
        <v>33099</v>
      </c>
      <c r="V67" s="17">
        <f t="shared" si="42"/>
        <v>11</v>
      </c>
      <c r="W67" s="18">
        <f t="shared" si="36"/>
        <v>3.3</v>
      </c>
      <c r="X67" s="2">
        <v>11637</v>
      </c>
      <c r="Y67" s="108">
        <f t="shared" si="43"/>
        <v>18</v>
      </c>
      <c r="Z67" s="18">
        <f t="shared" si="37"/>
        <v>17.611338257016246</v>
      </c>
      <c r="AA67" s="2">
        <v>778.3</v>
      </c>
      <c r="AB67" s="24">
        <f t="shared" si="44"/>
        <v>1.0999999999999091</v>
      </c>
      <c r="AC67" s="17"/>
      <c r="AD67" s="24">
        <f t="shared" si="38"/>
        <v>0.75999999999999712</v>
      </c>
      <c r="AE67" s="25">
        <v>125.8</v>
      </c>
      <c r="AF67" s="17">
        <f t="shared" si="33"/>
        <v>0</v>
      </c>
      <c r="AG67" s="2">
        <v>5.2</v>
      </c>
      <c r="AH67" s="29"/>
    </row>
    <row r="68" spans="1:34" x14ac:dyDescent="0.25">
      <c r="A68" s="5">
        <v>44663</v>
      </c>
      <c r="B68" s="67">
        <v>14.89</v>
      </c>
      <c r="C68" s="18">
        <f t="shared" si="20"/>
        <v>5.0000000000000711E-2</v>
      </c>
      <c r="D68" s="2">
        <v>4.2</v>
      </c>
      <c r="E68" s="107">
        <f t="shared" si="7"/>
        <v>2.0000000000000462E-2</v>
      </c>
      <c r="F68" s="2">
        <v>50.4</v>
      </c>
      <c r="G68" s="107">
        <f t="shared" si="8"/>
        <v>0.14000000000000057</v>
      </c>
      <c r="H68" s="2">
        <v>1.41</v>
      </c>
      <c r="I68" s="107">
        <f t="shared" si="9"/>
        <v>1.0000000000000009E-2</v>
      </c>
      <c r="J68" s="2">
        <v>55.1</v>
      </c>
      <c r="K68" s="107">
        <f t="shared" si="28"/>
        <v>0.17000000000000171</v>
      </c>
      <c r="L68" s="2">
        <v>37.200000000000003</v>
      </c>
      <c r="M68" s="107">
        <f t="shared" si="45"/>
        <v>0.12000000000000455</v>
      </c>
      <c r="N68" s="107">
        <f t="shared" si="39"/>
        <v>1.9999999999996021E-2</v>
      </c>
      <c r="O68" s="114">
        <v>67633</v>
      </c>
      <c r="P68" s="17">
        <f t="shared" si="47"/>
        <v>15</v>
      </c>
      <c r="Q68" s="18">
        <f t="shared" si="46"/>
        <v>4.3455000000000004</v>
      </c>
      <c r="R68" s="114">
        <v>1002</v>
      </c>
      <c r="S68" s="17">
        <f t="shared" si="41"/>
        <v>3</v>
      </c>
      <c r="T68" s="17"/>
      <c r="U68" s="2">
        <v>33105</v>
      </c>
      <c r="V68" s="17">
        <f t="shared" si="42"/>
        <v>6</v>
      </c>
      <c r="W68" s="18">
        <f t="shared" si="36"/>
        <v>1.7999999999999998</v>
      </c>
      <c r="X68" s="2">
        <v>11652</v>
      </c>
      <c r="Y68" s="108">
        <f t="shared" si="43"/>
        <v>15</v>
      </c>
      <c r="Z68" s="18">
        <f t="shared" si="37"/>
        <v>14.676115214180205</v>
      </c>
      <c r="AA68" s="2">
        <v>778.9</v>
      </c>
      <c r="AB68" s="24">
        <f t="shared" si="44"/>
        <v>0.60000000000002274</v>
      </c>
      <c r="AC68" s="17"/>
      <c r="AD68" s="24">
        <f t="shared" si="38"/>
        <v>0.510000000000008</v>
      </c>
      <c r="AE68" s="25">
        <v>125.8</v>
      </c>
      <c r="AF68" s="17">
        <f t="shared" si="33"/>
        <v>0</v>
      </c>
      <c r="AG68" s="2">
        <v>8.5</v>
      </c>
      <c r="AH68" s="29"/>
    </row>
    <row r="69" spans="1:34" x14ac:dyDescent="0.25">
      <c r="A69" s="5">
        <v>44664</v>
      </c>
      <c r="B69" s="67">
        <v>14.93</v>
      </c>
      <c r="C69" s="18">
        <f t="shared" si="20"/>
        <v>3.9999999999999147E-2</v>
      </c>
      <c r="D69" s="2">
        <v>4.21</v>
      </c>
      <c r="E69" s="107">
        <f t="shared" si="7"/>
        <v>9.9999999999997868E-3</v>
      </c>
      <c r="F69" s="2">
        <v>50.73</v>
      </c>
      <c r="G69" s="107">
        <f t="shared" si="8"/>
        <v>0.32999999999999829</v>
      </c>
      <c r="H69" s="2">
        <v>1.41</v>
      </c>
      <c r="I69" s="107">
        <f t="shared" si="9"/>
        <v>0</v>
      </c>
      <c r="J69" s="2">
        <v>55.31</v>
      </c>
      <c r="K69" s="107">
        <f t="shared" si="28"/>
        <v>0.21000000000000085</v>
      </c>
      <c r="L69" s="2">
        <v>37.340000000000003</v>
      </c>
      <c r="M69" s="107">
        <f t="shared" si="45"/>
        <v>0.14000000000000057</v>
      </c>
      <c r="N69" s="107">
        <f t="shared" si="39"/>
        <v>0.18999999999999773</v>
      </c>
      <c r="O69" s="114">
        <v>67646</v>
      </c>
      <c r="P69" s="17">
        <f t="shared" si="47"/>
        <v>13</v>
      </c>
      <c r="Q69" s="18">
        <f t="shared" si="46"/>
        <v>3.7661000000000002</v>
      </c>
      <c r="R69" s="114">
        <v>1006</v>
      </c>
      <c r="S69" s="17">
        <f t="shared" si="41"/>
        <v>4</v>
      </c>
      <c r="T69" s="17"/>
      <c r="U69" s="2">
        <v>33111</v>
      </c>
      <c r="V69" s="17">
        <f t="shared" si="42"/>
        <v>6</v>
      </c>
      <c r="W69" s="18">
        <f t="shared" si="36"/>
        <v>1.7999999999999998</v>
      </c>
      <c r="X69" s="2">
        <v>11666</v>
      </c>
      <c r="Y69" s="108">
        <f t="shared" si="43"/>
        <v>14</v>
      </c>
      <c r="Z69" s="18">
        <f t="shared" si="37"/>
        <v>13.697707533234858</v>
      </c>
      <c r="AA69" s="2">
        <v>779.9</v>
      </c>
      <c r="AB69" s="24">
        <f t="shared" si="44"/>
        <v>1</v>
      </c>
      <c r="AC69" s="17"/>
      <c r="AD69" s="24">
        <f t="shared" si="38"/>
        <v>0.72999999999999865</v>
      </c>
      <c r="AE69" s="25">
        <v>125.8</v>
      </c>
      <c r="AF69" s="17">
        <f t="shared" si="33"/>
        <v>0</v>
      </c>
      <c r="AG69" s="2">
        <v>13.8</v>
      </c>
      <c r="AH69" s="29"/>
    </row>
    <row r="70" spans="1:34" x14ac:dyDescent="0.25">
      <c r="A70" s="5">
        <v>44665</v>
      </c>
      <c r="B70" s="67">
        <v>14.99</v>
      </c>
      <c r="C70" s="18">
        <f t="shared" si="20"/>
        <v>6.0000000000000497E-2</v>
      </c>
      <c r="D70" s="2">
        <v>4.25</v>
      </c>
      <c r="E70" s="107">
        <f t="shared" si="7"/>
        <v>4.0000000000000036E-2</v>
      </c>
      <c r="F70" s="2">
        <v>50.95</v>
      </c>
      <c r="G70" s="107">
        <f t="shared" si="8"/>
        <v>0.22000000000000597</v>
      </c>
      <c r="H70" s="2">
        <v>1.44</v>
      </c>
      <c r="I70" s="107">
        <f t="shared" si="9"/>
        <v>3.0000000000000027E-2</v>
      </c>
      <c r="J70" s="2">
        <v>55.54</v>
      </c>
      <c r="K70" s="107">
        <f t="shared" si="28"/>
        <v>0.22999999999999687</v>
      </c>
      <c r="L70" s="2">
        <v>37.5</v>
      </c>
      <c r="M70" s="107">
        <f t="shared" si="45"/>
        <v>0.15999999999999659</v>
      </c>
      <c r="N70" s="107">
        <f t="shared" si="39"/>
        <v>6.0000000000009379E-2</v>
      </c>
      <c r="O70" s="114">
        <v>67657</v>
      </c>
      <c r="P70" s="17">
        <f t="shared" si="47"/>
        <v>11</v>
      </c>
      <c r="Q70" s="18">
        <f t="shared" si="46"/>
        <v>3.1867000000000001</v>
      </c>
      <c r="R70" s="114">
        <v>1009</v>
      </c>
      <c r="S70" s="17">
        <f t="shared" si="41"/>
        <v>3</v>
      </c>
      <c r="T70" s="17"/>
      <c r="U70" s="2">
        <v>33117</v>
      </c>
      <c r="V70" s="17">
        <f t="shared" si="42"/>
        <v>6</v>
      </c>
      <c r="W70" s="18">
        <f t="shared" si="36"/>
        <v>1.7999999999999998</v>
      </c>
      <c r="X70" s="2">
        <v>11674</v>
      </c>
      <c r="Y70" s="108">
        <f t="shared" si="43"/>
        <v>8</v>
      </c>
      <c r="Z70" s="18">
        <f t="shared" si="37"/>
        <v>7.8272614475627762</v>
      </c>
      <c r="AA70" s="2">
        <v>780.8</v>
      </c>
      <c r="AB70" s="24">
        <f t="shared" si="44"/>
        <v>0.89999999999997726</v>
      </c>
      <c r="AC70" s="17"/>
      <c r="AD70" s="24">
        <f t="shared" si="38"/>
        <v>0.74</v>
      </c>
      <c r="AE70" s="25">
        <v>125.8</v>
      </c>
      <c r="AF70" s="17">
        <f t="shared" si="33"/>
        <v>0</v>
      </c>
      <c r="AG70" s="2">
        <v>11.6</v>
      </c>
      <c r="AH70" s="29"/>
    </row>
    <row r="71" spans="1:34" x14ac:dyDescent="0.25">
      <c r="A71" s="5">
        <v>44666</v>
      </c>
      <c r="B71" s="67">
        <v>15.04</v>
      </c>
      <c r="C71" s="18">
        <f t="shared" si="20"/>
        <v>4.9999999999998934E-2</v>
      </c>
      <c r="D71" s="2">
        <v>4.25</v>
      </c>
      <c r="E71" s="107">
        <f t="shared" si="7"/>
        <v>0</v>
      </c>
      <c r="F71" s="2">
        <v>51.12</v>
      </c>
      <c r="G71" s="107">
        <f t="shared" si="8"/>
        <v>0.1699999999999946</v>
      </c>
      <c r="H71" s="2">
        <v>1.44</v>
      </c>
      <c r="I71" s="107">
        <f t="shared" si="9"/>
        <v>0</v>
      </c>
      <c r="J71" s="2">
        <v>55.91</v>
      </c>
      <c r="K71" s="107">
        <v>0.37</v>
      </c>
      <c r="L71" s="2">
        <v>37.700000000000003</v>
      </c>
      <c r="M71" s="107">
        <f t="shared" si="45"/>
        <v>0.20000000000000284</v>
      </c>
      <c r="N71" s="107">
        <f t="shared" si="39"/>
        <v>-3.0000000000008242E-2</v>
      </c>
      <c r="O71" s="114">
        <v>67670</v>
      </c>
      <c r="P71" s="17">
        <f t="shared" si="47"/>
        <v>13</v>
      </c>
      <c r="Q71" s="18">
        <f t="shared" si="46"/>
        <v>3.7661000000000002</v>
      </c>
      <c r="R71" s="114">
        <v>1014</v>
      </c>
      <c r="S71" s="17">
        <f t="shared" si="41"/>
        <v>5</v>
      </c>
      <c r="T71" s="17"/>
      <c r="U71" s="2">
        <v>33122</v>
      </c>
      <c r="V71" s="17">
        <f t="shared" si="42"/>
        <v>5</v>
      </c>
      <c r="W71" s="18">
        <f t="shared" si="36"/>
        <v>1.5</v>
      </c>
      <c r="X71" s="2">
        <v>11681</v>
      </c>
      <c r="Y71" s="108">
        <f t="shared" si="43"/>
        <v>7</v>
      </c>
      <c r="Z71" s="18">
        <f t="shared" si="37"/>
        <v>6.8488537666174292</v>
      </c>
      <c r="AA71" s="2">
        <v>781.6</v>
      </c>
      <c r="AB71" s="24">
        <f t="shared" si="44"/>
        <v>0.80000000000006821</v>
      </c>
      <c r="AC71" s="17"/>
      <c r="AD71" s="24">
        <f t="shared" si="38"/>
        <v>0.78999999999999637</v>
      </c>
      <c r="AE71" s="25">
        <v>125.8</v>
      </c>
      <c r="AF71" s="17">
        <f t="shared" si="33"/>
        <v>0</v>
      </c>
      <c r="AG71" s="2">
        <v>7.1</v>
      </c>
      <c r="AH71" s="29"/>
    </row>
    <row r="72" spans="1:34" x14ac:dyDescent="0.25">
      <c r="A72" s="5">
        <v>44667</v>
      </c>
      <c r="B72" s="67">
        <v>15.06</v>
      </c>
      <c r="C72" s="18">
        <f t="shared" si="20"/>
        <v>2.000000000000135E-2</v>
      </c>
      <c r="D72" s="2">
        <v>4.32</v>
      </c>
      <c r="E72" s="107">
        <f t="shared" si="7"/>
        <v>7.0000000000000284E-2</v>
      </c>
      <c r="F72" s="2">
        <v>52</v>
      </c>
      <c r="G72" s="107">
        <f t="shared" si="8"/>
        <v>0.88000000000000256</v>
      </c>
      <c r="H72" s="2">
        <v>1.46</v>
      </c>
      <c r="I72" s="107">
        <f t="shared" si="9"/>
        <v>2.0000000000000018E-2</v>
      </c>
      <c r="J72" s="2">
        <v>56.65</v>
      </c>
      <c r="K72" s="107">
        <f t="shared" si="28"/>
        <v>0.74000000000000199</v>
      </c>
      <c r="L72" s="2">
        <v>38.21</v>
      </c>
      <c r="M72" s="107">
        <f t="shared" si="45"/>
        <v>0.50999999999999801</v>
      </c>
      <c r="N72" s="107">
        <f t="shared" si="39"/>
        <v>0.37000000000000455</v>
      </c>
      <c r="O72" s="114">
        <v>67704</v>
      </c>
      <c r="P72" s="17">
        <f t="shared" si="47"/>
        <v>34</v>
      </c>
      <c r="Q72" s="18">
        <f t="shared" si="46"/>
        <v>9.8498000000000001</v>
      </c>
      <c r="R72" s="114">
        <v>1022</v>
      </c>
      <c r="S72" s="17">
        <f t="shared" si="41"/>
        <v>8</v>
      </c>
      <c r="T72" s="17"/>
      <c r="U72" s="2">
        <v>33125</v>
      </c>
      <c r="V72" s="17">
        <f t="shared" si="42"/>
        <v>3</v>
      </c>
      <c r="W72" s="18">
        <f t="shared" si="36"/>
        <v>0.89999999999999991</v>
      </c>
      <c r="X72" s="2">
        <v>11700</v>
      </c>
      <c r="Y72" s="108">
        <f t="shared" si="43"/>
        <v>19</v>
      </c>
      <c r="Z72" s="18">
        <f t="shared" si="37"/>
        <v>18.589745937961592</v>
      </c>
      <c r="AA72" s="2">
        <v>783.9</v>
      </c>
      <c r="AB72" s="24">
        <f t="shared" si="44"/>
        <v>2.2999999999999545</v>
      </c>
      <c r="AC72" s="17"/>
      <c r="AD72" s="24">
        <f t="shared" si="38"/>
        <v>2.2400000000000042</v>
      </c>
      <c r="AE72" s="25">
        <v>125.8</v>
      </c>
      <c r="AF72" s="17">
        <f t="shared" si="33"/>
        <v>0</v>
      </c>
      <c r="AG72" s="2">
        <v>5.5</v>
      </c>
      <c r="AH72" s="29"/>
    </row>
    <row r="73" spans="1:34" x14ac:dyDescent="0.25">
      <c r="A73" s="5">
        <v>44668</v>
      </c>
      <c r="B73" s="67">
        <v>15.06</v>
      </c>
      <c r="C73" s="18">
        <f t="shared" si="20"/>
        <v>0</v>
      </c>
      <c r="D73" s="2">
        <v>4.37</v>
      </c>
      <c r="E73" s="107">
        <f t="shared" si="7"/>
        <v>4.9999999999999822E-2</v>
      </c>
      <c r="F73" s="2">
        <v>52.47</v>
      </c>
      <c r="G73" s="107">
        <f t="shared" si="8"/>
        <v>0.46999999999999886</v>
      </c>
      <c r="H73" s="2">
        <v>1.48</v>
      </c>
      <c r="I73" s="107">
        <f t="shared" si="9"/>
        <v>2.0000000000000018E-2</v>
      </c>
      <c r="J73" s="2">
        <v>57.14</v>
      </c>
      <c r="K73" s="107">
        <f t="shared" si="28"/>
        <v>0.49000000000000199</v>
      </c>
      <c r="L73" s="2">
        <v>38.6</v>
      </c>
      <c r="M73" s="107">
        <f t="shared" si="45"/>
        <v>0.39000000000000057</v>
      </c>
      <c r="N73" s="107">
        <f t="shared" si="39"/>
        <v>7.9999999999998295E-2</v>
      </c>
      <c r="O73" s="114">
        <v>67734</v>
      </c>
      <c r="P73" s="17">
        <f t="shared" si="47"/>
        <v>30</v>
      </c>
      <c r="Q73" s="18">
        <f t="shared" si="46"/>
        <v>8.6910000000000007</v>
      </c>
      <c r="R73" s="114">
        <v>1028</v>
      </c>
      <c r="S73" s="17">
        <f t="shared" si="41"/>
        <v>6</v>
      </c>
      <c r="T73" s="17"/>
      <c r="U73" s="2">
        <v>33126</v>
      </c>
      <c r="V73" s="17">
        <f t="shared" si="42"/>
        <v>1</v>
      </c>
      <c r="W73" s="18">
        <f t="shared" si="36"/>
        <v>0.3</v>
      </c>
      <c r="X73" s="2">
        <v>11714</v>
      </c>
      <c r="Y73" s="108">
        <f t="shared" si="43"/>
        <v>14</v>
      </c>
      <c r="Z73" s="18">
        <f t="shared" si="37"/>
        <v>13.697707533234858</v>
      </c>
      <c r="AA73" s="2">
        <v>785.3</v>
      </c>
      <c r="AB73" s="24">
        <f t="shared" si="44"/>
        <v>1.3999999999999773</v>
      </c>
      <c r="AC73" s="17"/>
      <c r="AD73" s="24">
        <f t="shared" si="38"/>
        <v>1.4200000000000013</v>
      </c>
      <c r="AE73" s="25">
        <v>125.8</v>
      </c>
      <c r="AF73" s="17">
        <f t="shared" si="33"/>
        <v>0</v>
      </c>
      <c r="AG73" s="2">
        <v>6.6</v>
      </c>
      <c r="AH73" s="29"/>
    </row>
    <row r="74" spans="1:34" x14ac:dyDescent="0.25">
      <c r="A74" s="5">
        <v>44669</v>
      </c>
      <c r="B74" s="67">
        <v>15.06</v>
      </c>
      <c r="C74" s="18">
        <f t="shared" si="20"/>
        <v>0</v>
      </c>
      <c r="D74" s="2">
        <v>4.42</v>
      </c>
      <c r="E74" s="107">
        <f t="shared" si="7"/>
        <v>4.9999999999999822E-2</v>
      </c>
      <c r="F74" s="2">
        <v>52.74</v>
      </c>
      <c r="G74" s="107">
        <f t="shared" si="8"/>
        <v>0.27000000000000313</v>
      </c>
      <c r="H74" s="2">
        <v>1.5</v>
      </c>
      <c r="I74" s="107">
        <f t="shared" si="9"/>
        <v>2.0000000000000018E-2</v>
      </c>
      <c r="J74" s="2">
        <v>57.65</v>
      </c>
      <c r="K74" s="107">
        <f t="shared" si="28"/>
        <v>0.50999999999999801</v>
      </c>
      <c r="L74" s="2">
        <v>38.840000000000003</v>
      </c>
      <c r="M74" s="107">
        <f t="shared" si="45"/>
        <v>0.24000000000000199</v>
      </c>
      <c r="N74" s="107">
        <f t="shared" si="39"/>
        <v>3.0000000000001137E-2</v>
      </c>
      <c r="O74" s="114">
        <v>67752</v>
      </c>
      <c r="P74" s="17">
        <f t="shared" si="47"/>
        <v>18</v>
      </c>
      <c r="Q74" s="18">
        <f t="shared" si="46"/>
        <v>5.2145999999999999</v>
      </c>
      <c r="R74" s="114">
        <v>1032</v>
      </c>
      <c r="S74" s="17">
        <f t="shared" si="41"/>
        <v>4</v>
      </c>
      <c r="T74" s="17"/>
      <c r="U74" s="2">
        <v>33127</v>
      </c>
      <c r="V74" s="17">
        <f t="shared" si="42"/>
        <v>1</v>
      </c>
      <c r="W74" s="18">
        <f t="shared" si="36"/>
        <v>0.3</v>
      </c>
      <c r="X74" s="2">
        <v>11726</v>
      </c>
      <c r="Y74" s="108">
        <f t="shared" si="43"/>
        <v>12</v>
      </c>
      <c r="Z74" s="18">
        <f t="shared" si="37"/>
        <v>11.740892171344164</v>
      </c>
      <c r="AA74" s="2">
        <v>786.4</v>
      </c>
      <c r="AB74" s="24">
        <f t="shared" si="44"/>
        <v>1.1000000000000227</v>
      </c>
      <c r="AC74" s="17"/>
      <c r="AD74" s="24">
        <f t="shared" ref="AD74:AD80" si="48">C74+E74+G74+I74+K74+M74+AF74</f>
        <v>1.090000000000003</v>
      </c>
      <c r="AE74" s="25">
        <v>125.8</v>
      </c>
      <c r="AF74" s="17">
        <f t="shared" ref="AF74:AF86" si="49">AE74-AE73</f>
        <v>0</v>
      </c>
      <c r="AG74" s="2">
        <v>7.7</v>
      </c>
      <c r="AH74" s="29"/>
    </row>
    <row r="75" spans="1:34" x14ac:dyDescent="0.25">
      <c r="A75" s="5">
        <v>44670</v>
      </c>
      <c r="B75" s="67">
        <v>15.07</v>
      </c>
      <c r="C75" s="18">
        <f t="shared" si="20"/>
        <v>9.9999999999997868E-3</v>
      </c>
      <c r="D75" s="2">
        <v>4.5</v>
      </c>
      <c r="E75" s="107">
        <f t="shared" si="7"/>
        <v>8.0000000000000071E-2</v>
      </c>
      <c r="F75" s="2">
        <v>53.25</v>
      </c>
      <c r="G75" s="107">
        <f t="shared" si="8"/>
        <v>0.50999999999999801</v>
      </c>
      <c r="H75" s="2">
        <v>1.54</v>
      </c>
      <c r="I75" s="107">
        <f t="shared" si="9"/>
        <v>4.0000000000000036E-2</v>
      </c>
      <c r="J75" s="2">
        <v>58.03</v>
      </c>
      <c r="K75" s="107">
        <f t="shared" si="28"/>
        <v>0.38000000000000256</v>
      </c>
      <c r="L75" s="2">
        <v>39.11</v>
      </c>
      <c r="M75" s="107">
        <f t="shared" si="45"/>
        <v>0.26999999999999602</v>
      </c>
      <c r="N75" s="107">
        <f t="shared" si="39"/>
        <v>0.24000000000000199</v>
      </c>
      <c r="O75" s="114">
        <v>67777</v>
      </c>
      <c r="P75" s="17">
        <f t="shared" si="47"/>
        <v>25</v>
      </c>
      <c r="Q75" s="18">
        <f t="shared" si="46"/>
        <v>7.2425000000000006</v>
      </c>
      <c r="R75" s="114">
        <v>1038</v>
      </c>
      <c r="S75" s="17">
        <f t="shared" si="41"/>
        <v>6</v>
      </c>
      <c r="T75" s="17"/>
      <c r="U75" s="2">
        <v>33130</v>
      </c>
      <c r="V75" s="17">
        <f t="shared" si="42"/>
        <v>3</v>
      </c>
      <c r="W75" s="18">
        <f t="shared" si="36"/>
        <v>0.89999999999999991</v>
      </c>
      <c r="X75" s="2">
        <v>11738</v>
      </c>
      <c r="Y75" s="108">
        <f t="shared" si="43"/>
        <v>12</v>
      </c>
      <c r="Z75" s="18">
        <f t="shared" si="37"/>
        <v>11.740892171344164</v>
      </c>
      <c r="AA75" s="2">
        <v>788.2</v>
      </c>
      <c r="AB75" s="24">
        <f t="shared" si="44"/>
        <v>1.8000000000000682</v>
      </c>
      <c r="AC75" s="17"/>
      <c r="AD75" s="24">
        <f t="shared" si="48"/>
        <v>1.6900000000000022</v>
      </c>
      <c r="AE75" s="25">
        <v>126.2</v>
      </c>
      <c r="AF75" s="17">
        <f t="shared" si="49"/>
        <v>0.40000000000000568</v>
      </c>
      <c r="AG75" s="2">
        <v>7.7</v>
      </c>
      <c r="AH75" s="29"/>
    </row>
    <row r="76" spans="1:34" x14ac:dyDescent="0.25">
      <c r="A76" s="5">
        <v>44671</v>
      </c>
      <c r="B76" s="67">
        <v>15.12</v>
      </c>
      <c r="C76" s="18">
        <f t="shared" si="20"/>
        <v>4.9999999999998934E-2</v>
      </c>
      <c r="D76" s="2">
        <v>4.5199999999999996</v>
      </c>
      <c r="E76" s="107">
        <f t="shared" si="7"/>
        <v>1.9999999999999574E-2</v>
      </c>
      <c r="F76" s="2">
        <v>53.39</v>
      </c>
      <c r="G76" s="107">
        <f t="shared" si="8"/>
        <v>0.14000000000000057</v>
      </c>
      <c r="H76" s="2">
        <v>1.54</v>
      </c>
      <c r="I76" s="107">
        <f t="shared" si="9"/>
        <v>0</v>
      </c>
      <c r="J76" s="2">
        <v>58.21</v>
      </c>
      <c r="K76" s="107">
        <f t="shared" si="28"/>
        <v>0.17999999999999972</v>
      </c>
      <c r="L76" s="2">
        <v>39.229999999999997</v>
      </c>
      <c r="M76" s="107">
        <f t="shared" si="45"/>
        <v>0.11999999999999744</v>
      </c>
      <c r="N76" s="107">
        <f t="shared" si="39"/>
        <v>2.0000000000003126E-2</v>
      </c>
      <c r="O76" s="114">
        <v>67791</v>
      </c>
      <c r="P76" s="17">
        <f t="shared" si="47"/>
        <v>14</v>
      </c>
      <c r="Q76" s="18">
        <f t="shared" si="46"/>
        <v>4.0558000000000005</v>
      </c>
      <c r="R76" s="114">
        <v>1041</v>
      </c>
      <c r="S76" s="17">
        <f t="shared" si="41"/>
        <v>3</v>
      </c>
      <c r="T76" s="17"/>
      <c r="U76" s="2">
        <v>33134</v>
      </c>
      <c r="V76" s="17">
        <f t="shared" si="42"/>
        <v>4</v>
      </c>
      <c r="W76" s="18">
        <f t="shared" si="36"/>
        <v>1.2</v>
      </c>
      <c r="X76" s="2">
        <v>11748</v>
      </c>
      <c r="Y76" s="108">
        <f t="shared" si="43"/>
        <v>10</v>
      </c>
      <c r="Z76" s="18">
        <f t="shared" si="37"/>
        <v>9.7840768094534702</v>
      </c>
      <c r="AA76" s="2">
        <v>789</v>
      </c>
      <c r="AB76" s="24">
        <f t="shared" si="44"/>
        <v>0.79999999999995453</v>
      </c>
      <c r="AC76" s="17"/>
      <c r="AD76" s="24">
        <f t="shared" si="48"/>
        <v>0.60999999999999055</v>
      </c>
      <c r="AE76" s="25">
        <v>126.3</v>
      </c>
      <c r="AF76" s="17">
        <f t="shared" si="49"/>
        <v>9.9999999999994316E-2</v>
      </c>
      <c r="AG76" s="2">
        <v>8.8000000000000007</v>
      </c>
      <c r="AH76" s="29"/>
    </row>
    <row r="77" spans="1:34" x14ac:dyDescent="0.25">
      <c r="A77" s="5">
        <v>44672</v>
      </c>
      <c r="B77" s="67">
        <v>15.15</v>
      </c>
      <c r="C77" s="18">
        <f t="shared" si="20"/>
        <v>3.0000000000001137E-2</v>
      </c>
      <c r="D77" s="2">
        <v>4.5199999999999996</v>
      </c>
      <c r="E77" s="107">
        <f t="shared" si="7"/>
        <v>0</v>
      </c>
      <c r="F77" s="2">
        <v>53.71</v>
      </c>
      <c r="G77" s="107">
        <f t="shared" si="8"/>
        <v>0.32000000000000028</v>
      </c>
      <c r="H77" s="2">
        <v>1.54</v>
      </c>
      <c r="I77" s="107">
        <f t="shared" si="9"/>
        <v>0</v>
      </c>
      <c r="J77" s="2">
        <v>58.34</v>
      </c>
      <c r="K77" s="107">
        <f t="shared" si="28"/>
        <v>0.13000000000000256</v>
      </c>
      <c r="L77" s="2">
        <v>39.299999999999997</v>
      </c>
      <c r="M77" s="107">
        <f t="shared" si="45"/>
        <v>7.0000000000000284E-2</v>
      </c>
      <c r="N77" s="107">
        <f t="shared" si="39"/>
        <v>0.25</v>
      </c>
      <c r="O77" s="114">
        <v>67801</v>
      </c>
      <c r="P77" s="17">
        <f t="shared" si="47"/>
        <v>10</v>
      </c>
      <c r="Q77" s="18">
        <f t="shared" si="46"/>
        <v>2.8970000000000002</v>
      </c>
      <c r="R77" s="114">
        <v>1044</v>
      </c>
      <c r="S77" s="17">
        <f t="shared" si="41"/>
        <v>3</v>
      </c>
      <c r="T77" s="17"/>
      <c r="U77" s="2">
        <v>33138</v>
      </c>
      <c r="V77" s="17">
        <f t="shared" si="42"/>
        <v>4</v>
      </c>
      <c r="W77" s="18">
        <f t="shared" si="36"/>
        <v>1.2</v>
      </c>
      <c r="X77" s="2">
        <v>11760</v>
      </c>
      <c r="Y77" s="108">
        <f t="shared" si="43"/>
        <v>12</v>
      </c>
      <c r="Z77" s="18">
        <f t="shared" si="37"/>
        <v>11.740892171344164</v>
      </c>
      <c r="AA77" s="2">
        <v>790.4</v>
      </c>
      <c r="AB77" s="24">
        <f t="shared" si="44"/>
        <v>1.3999999999999773</v>
      </c>
      <c r="AC77" s="17"/>
      <c r="AD77" s="24">
        <f t="shared" si="48"/>
        <v>1.2500000000000071</v>
      </c>
      <c r="AE77" s="25">
        <v>127</v>
      </c>
      <c r="AF77" s="17">
        <f t="shared" si="49"/>
        <v>0.70000000000000284</v>
      </c>
      <c r="AG77" s="2">
        <v>8.3000000000000007</v>
      </c>
      <c r="AH77" s="29"/>
    </row>
    <row r="78" spans="1:34" x14ac:dyDescent="0.25">
      <c r="A78" s="5">
        <v>44673</v>
      </c>
      <c r="B78" s="67">
        <v>15.2</v>
      </c>
      <c r="C78" s="18">
        <f t="shared" si="20"/>
        <v>4.9999999999998934E-2</v>
      </c>
      <c r="D78" s="2">
        <v>4.55</v>
      </c>
      <c r="E78" s="107">
        <f t="shared" si="7"/>
        <v>3.0000000000000249E-2</v>
      </c>
      <c r="F78" s="2">
        <v>53.97</v>
      </c>
      <c r="G78" s="107">
        <f t="shared" si="8"/>
        <v>0.25999999999999801</v>
      </c>
      <c r="H78" s="2">
        <v>1.55</v>
      </c>
      <c r="I78" s="107">
        <f t="shared" si="9"/>
        <v>1.0000000000000009E-2</v>
      </c>
      <c r="J78" s="2">
        <v>58.57</v>
      </c>
      <c r="K78" s="107">
        <f t="shared" si="28"/>
        <v>0.22999999999999687</v>
      </c>
      <c r="L78" s="2">
        <v>39.53</v>
      </c>
      <c r="M78" s="107">
        <f t="shared" si="45"/>
        <v>0.23000000000000398</v>
      </c>
      <c r="N78" s="107">
        <f t="shared" si="39"/>
        <v>2.9999999999994031E-2</v>
      </c>
      <c r="O78" s="114">
        <v>67812</v>
      </c>
      <c r="P78" s="17">
        <f t="shared" si="47"/>
        <v>11</v>
      </c>
      <c r="Q78" s="18">
        <f t="shared" si="46"/>
        <v>3.1867000000000001</v>
      </c>
      <c r="R78" s="114">
        <v>1047</v>
      </c>
      <c r="S78" s="17">
        <f t="shared" si="41"/>
        <v>3</v>
      </c>
      <c r="T78" s="17"/>
      <c r="U78" s="2">
        <v>33147</v>
      </c>
      <c r="V78" s="17">
        <f t="shared" si="42"/>
        <v>9</v>
      </c>
      <c r="W78" s="18">
        <f t="shared" si="36"/>
        <v>2.6999999999999997</v>
      </c>
      <c r="X78" s="2">
        <v>11771</v>
      </c>
      <c r="Y78" s="108">
        <f t="shared" si="43"/>
        <v>11</v>
      </c>
      <c r="Z78" s="18">
        <f t="shared" si="37"/>
        <v>10.762484490398817</v>
      </c>
      <c r="AA78" s="2">
        <v>791.7</v>
      </c>
      <c r="AB78" s="24">
        <f t="shared" si="44"/>
        <v>1.3000000000000682</v>
      </c>
      <c r="AC78" s="17"/>
      <c r="AD78" s="24">
        <f t="shared" si="48"/>
        <v>1.2100000000000037</v>
      </c>
      <c r="AE78" s="25">
        <v>127.4</v>
      </c>
      <c r="AF78" s="17">
        <f t="shared" si="49"/>
        <v>0.40000000000000568</v>
      </c>
      <c r="AG78" s="2">
        <v>8.9</v>
      </c>
      <c r="AH78" s="29"/>
    </row>
    <row r="79" spans="1:34" x14ac:dyDescent="0.25">
      <c r="A79" s="5">
        <v>44674</v>
      </c>
      <c r="B79" s="67">
        <v>15.24</v>
      </c>
      <c r="C79" s="18">
        <f t="shared" si="20"/>
        <v>4.0000000000000924E-2</v>
      </c>
      <c r="D79" s="2">
        <v>4.57</v>
      </c>
      <c r="E79" s="107">
        <f t="shared" si="7"/>
        <v>2.0000000000000462E-2</v>
      </c>
      <c r="F79" s="2">
        <v>54.16</v>
      </c>
      <c r="G79" s="107">
        <f t="shared" si="8"/>
        <v>0.18999999999999773</v>
      </c>
      <c r="H79" s="2">
        <v>1.55</v>
      </c>
      <c r="I79" s="107">
        <f t="shared" si="9"/>
        <v>0</v>
      </c>
      <c r="J79" s="2">
        <v>58.71</v>
      </c>
      <c r="K79" s="107">
        <f t="shared" si="28"/>
        <v>0.14000000000000057</v>
      </c>
      <c r="L79" s="2">
        <v>39.64</v>
      </c>
      <c r="M79" s="107">
        <f t="shared" si="45"/>
        <v>0.10999999999999943</v>
      </c>
      <c r="N79" s="107">
        <f t="shared" si="39"/>
        <v>7.9999999999998295E-2</v>
      </c>
      <c r="O79" s="114">
        <v>67821</v>
      </c>
      <c r="P79" s="17">
        <f t="shared" si="47"/>
        <v>9</v>
      </c>
      <c r="Q79" s="18">
        <f t="shared" si="46"/>
        <v>2.6073</v>
      </c>
      <c r="R79" s="114">
        <v>1051</v>
      </c>
      <c r="S79" s="17">
        <f t="shared" si="41"/>
        <v>4</v>
      </c>
      <c r="T79" s="17"/>
      <c r="U79" s="2">
        <v>33154</v>
      </c>
      <c r="V79" s="17">
        <f t="shared" si="42"/>
        <v>7</v>
      </c>
      <c r="W79" s="18">
        <f t="shared" si="36"/>
        <v>2.1</v>
      </c>
      <c r="X79" s="2">
        <v>11783</v>
      </c>
      <c r="Y79" s="108">
        <f t="shared" si="43"/>
        <v>12</v>
      </c>
      <c r="Z79" s="18">
        <f t="shared" si="37"/>
        <v>11.740892171344164</v>
      </c>
      <c r="AA79" s="2">
        <v>792.7</v>
      </c>
      <c r="AB79" s="24">
        <f t="shared" si="44"/>
        <v>1</v>
      </c>
      <c r="AC79" s="17"/>
      <c r="AD79" s="24">
        <f t="shared" si="48"/>
        <v>0.89999999999999059</v>
      </c>
      <c r="AE79" s="25">
        <v>127.8</v>
      </c>
      <c r="AF79" s="17">
        <f t="shared" si="49"/>
        <v>0.39999999999999147</v>
      </c>
      <c r="AG79" s="2">
        <v>9.5</v>
      </c>
      <c r="AH79" s="29"/>
    </row>
    <row r="80" spans="1:34" x14ac:dyDescent="0.25">
      <c r="A80" s="5">
        <v>44675</v>
      </c>
      <c r="B80" s="67">
        <v>15.31</v>
      </c>
      <c r="C80" s="18">
        <f t="shared" si="20"/>
        <v>7.0000000000000284E-2</v>
      </c>
      <c r="D80" s="2">
        <v>4.58</v>
      </c>
      <c r="E80" s="107">
        <f t="shared" si="7"/>
        <v>9.9999999999997868E-3</v>
      </c>
      <c r="F80" s="2">
        <v>54.35</v>
      </c>
      <c r="G80" s="107">
        <f t="shared" si="8"/>
        <v>0.19000000000000483</v>
      </c>
      <c r="H80" s="2">
        <v>1.55</v>
      </c>
      <c r="I80" s="107">
        <f t="shared" si="9"/>
        <v>0</v>
      </c>
      <c r="J80" s="2">
        <v>58.87</v>
      </c>
      <c r="K80" s="107">
        <f t="shared" si="28"/>
        <v>0.15999999999999659</v>
      </c>
      <c r="L80" s="2">
        <v>39.729999999999997</v>
      </c>
      <c r="M80" s="107">
        <f t="shared" si="45"/>
        <v>8.9999999999996305E-2</v>
      </c>
      <c r="N80" s="107">
        <f t="shared" si="39"/>
        <v>0.10000000000000853</v>
      </c>
      <c r="O80" s="114">
        <v>67842</v>
      </c>
      <c r="P80" s="17">
        <f t="shared" si="47"/>
        <v>21</v>
      </c>
      <c r="Q80" s="18">
        <f t="shared" si="46"/>
        <v>6.0837000000000003</v>
      </c>
      <c r="R80" s="114">
        <v>1055</v>
      </c>
      <c r="S80" s="17">
        <f t="shared" si="41"/>
        <v>4</v>
      </c>
      <c r="T80" s="17"/>
      <c r="U80" s="2">
        <v>33165</v>
      </c>
      <c r="V80" s="17">
        <f t="shared" si="42"/>
        <v>11</v>
      </c>
      <c r="W80" s="18">
        <f t="shared" si="36"/>
        <v>3.3</v>
      </c>
      <c r="X80" s="2">
        <v>11793</v>
      </c>
      <c r="Y80" s="108">
        <f t="shared" si="43"/>
        <v>10</v>
      </c>
      <c r="Z80" s="18">
        <f t="shared" si="37"/>
        <v>9.7840768094534702</v>
      </c>
      <c r="AA80" s="2">
        <v>794.2</v>
      </c>
      <c r="AB80" s="24">
        <f t="shared" si="44"/>
        <v>1.5</v>
      </c>
      <c r="AC80" s="17"/>
      <c r="AD80" s="24">
        <f t="shared" si="48"/>
        <v>0.81999999999999496</v>
      </c>
      <c r="AE80" s="25">
        <v>128.1</v>
      </c>
      <c r="AF80" s="17">
        <f t="shared" si="49"/>
        <v>0.29999999999999716</v>
      </c>
      <c r="AG80" s="2">
        <v>7.5</v>
      </c>
      <c r="AH80" s="29"/>
    </row>
    <row r="81" spans="1:34" x14ac:dyDescent="0.25">
      <c r="A81" s="5">
        <v>44676</v>
      </c>
      <c r="B81" s="67">
        <v>15.31</v>
      </c>
      <c r="C81" s="18">
        <f t="shared" si="20"/>
        <v>0</v>
      </c>
      <c r="D81" s="2">
        <v>4.62</v>
      </c>
      <c r="E81" s="107">
        <f t="shared" si="7"/>
        <v>4.0000000000000036E-2</v>
      </c>
      <c r="F81" s="2">
        <v>54.95</v>
      </c>
      <c r="G81" s="107">
        <f t="shared" si="8"/>
        <v>0.60000000000000142</v>
      </c>
      <c r="H81" s="2">
        <v>1.59</v>
      </c>
      <c r="I81" s="107">
        <f t="shared" si="9"/>
        <v>4.0000000000000036E-2</v>
      </c>
      <c r="J81" s="2">
        <v>59.04</v>
      </c>
      <c r="K81" s="107">
        <f t="shared" si="28"/>
        <v>0.17000000000000171</v>
      </c>
      <c r="L81" s="2">
        <v>39.909999999999997</v>
      </c>
      <c r="M81" s="107">
        <f t="shared" si="45"/>
        <v>0.17999999999999972</v>
      </c>
      <c r="N81" s="107">
        <f t="shared" si="39"/>
        <v>0.42000000000000171</v>
      </c>
      <c r="O81" s="114">
        <v>67862</v>
      </c>
      <c r="P81" s="17">
        <f t="shared" si="47"/>
        <v>20</v>
      </c>
      <c r="Q81" s="18">
        <f t="shared" si="46"/>
        <v>5.7940000000000005</v>
      </c>
      <c r="R81" s="114">
        <v>1058</v>
      </c>
      <c r="S81" s="17">
        <f t="shared" si="41"/>
        <v>3</v>
      </c>
      <c r="T81" s="17"/>
      <c r="U81" s="2">
        <v>33168</v>
      </c>
      <c r="V81" s="17">
        <f t="shared" si="42"/>
        <v>3</v>
      </c>
      <c r="W81" s="18">
        <f t="shared" si="36"/>
        <v>0.89999999999999991</v>
      </c>
      <c r="X81" s="2">
        <v>11802</v>
      </c>
      <c r="Y81" s="108">
        <f t="shared" si="43"/>
        <v>9</v>
      </c>
      <c r="Z81" s="18">
        <f t="shared" si="37"/>
        <v>8.8056691285081232</v>
      </c>
      <c r="AA81" s="2">
        <v>795.45</v>
      </c>
      <c r="AB81" s="24">
        <f t="shared" si="44"/>
        <v>1.25</v>
      </c>
      <c r="AC81" s="17"/>
      <c r="AD81" s="24">
        <f t="shared" ref="AD81:AD86" si="50">C81+E81+G81+I81+K81+M81+AF81</f>
        <v>1.4300000000000086</v>
      </c>
      <c r="AE81" s="25">
        <v>128.5</v>
      </c>
      <c r="AF81" s="17">
        <f t="shared" si="49"/>
        <v>0.40000000000000568</v>
      </c>
      <c r="AG81" s="2">
        <v>7.6</v>
      </c>
      <c r="AH81" s="29"/>
    </row>
    <row r="82" spans="1:34" x14ac:dyDescent="0.25">
      <c r="A82" s="5">
        <v>44677</v>
      </c>
      <c r="B82" s="67">
        <v>15.34</v>
      </c>
      <c r="C82" s="18">
        <f t="shared" si="20"/>
        <v>2.9999999999999361E-2</v>
      </c>
      <c r="D82" s="2">
        <v>4.66</v>
      </c>
      <c r="E82" s="107">
        <f t="shared" si="7"/>
        <v>4.0000000000000036E-2</v>
      </c>
      <c r="F82" s="2">
        <v>55.04</v>
      </c>
      <c r="G82" s="107">
        <f t="shared" si="8"/>
        <v>8.9999999999996305E-2</v>
      </c>
      <c r="H82" s="2">
        <v>1.6</v>
      </c>
      <c r="I82" s="107">
        <f t="shared" si="9"/>
        <v>1.0000000000000009E-2</v>
      </c>
      <c r="J82" s="2">
        <v>59.16</v>
      </c>
      <c r="K82" s="107">
        <f t="shared" si="28"/>
        <v>0.11999999999999744</v>
      </c>
      <c r="L82" s="2">
        <v>40</v>
      </c>
      <c r="M82" s="107">
        <f t="shared" si="45"/>
        <v>9.0000000000003411E-2</v>
      </c>
      <c r="N82" s="107">
        <f t="shared" si="39"/>
        <v>-7.1054273576010019E-15</v>
      </c>
      <c r="O82" s="114">
        <v>67872</v>
      </c>
      <c r="P82" s="17">
        <f t="shared" si="47"/>
        <v>10</v>
      </c>
      <c r="Q82" s="18">
        <f t="shared" si="46"/>
        <v>2.8970000000000002</v>
      </c>
      <c r="R82" s="114">
        <v>1062</v>
      </c>
      <c r="S82" s="17">
        <f t="shared" si="41"/>
        <v>4</v>
      </c>
      <c r="T82" s="17"/>
      <c r="U82" s="2">
        <v>33179</v>
      </c>
      <c r="V82" s="17">
        <f t="shared" si="42"/>
        <v>11</v>
      </c>
      <c r="W82" s="18">
        <f t="shared" si="36"/>
        <v>3.3</v>
      </c>
      <c r="X82" s="30">
        <v>11814</v>
      </c>
      <c r="Y82" s="108">
        <f t="shared" si="43"/>
        <v>12</v>
      </c>
      <c r="Z82" s="18">
        <f t="shared" si="37"/>
        <v>11.740892171344164</v>
      </c>
      <c r="AA82" s="2">
        <v>797.04</v>
      </c>
      <c r="AB82" s="24">
        <f t="shared" si="44"/>
        <v>1.5899999999999181</v>
      </c>
      <c r="AC82" s="17"/>
      <c r="AD82" s="24">
        <f t="shared" si="50"/>
        <v>0.68000000000000793</v>
      </c>
      <c r="AE82" s="25">
        <v>128.80000000000001</v>
      </c>
      <c r="AF82" s="17">
        <f t="shared" si="49"/>
        <v>0.30000000000001137</v>
      </c>
      <c r="AG82" s="2">
        <v>7.9</v>
      </c>
      <c r="AH82" s="29"/>
    </row>
    <row r="83" spans="1:34" x14ac:dyDescent="0.25">
      <c r="A83" s="5">
        <v>44678</v>
      </c>
      <c r="B83" s="67">
        <v>15.39</v>
      </c>
      <c r="C83" s="18">
        <f t="shared" si="20"/>
        <v>5.0000000000000711E-2</v>
      </c>
      <c r="D83" s="2">
        <v>4.67</v>
      </c>
      <c r="E83" s="107">
        <f t="shared" si="7"/>
        <v>9.9999999999997868E-3</v>
      </c>
      <c r="F83" s="2">
        <v>55.15</v>
      </c>
      <c r="G83" s="107">
        <f t="shared" si="8"/>
        <v>0.10999999999999943</v>
      </c>
      <c r="H83" s="2">
        <v>1.6</v>
      </c>
      <c r="I83" s="107">
        <f t="shared" si="9"/>
        <v>0</v>
      </c>
      <c r="J83" s="2">
        <v>59.3</v>
      </c>
      <c r="K83" s="107">
        <f t="shared" si="28"/>
        <v>0.14000000000000057</v>
      </c>
      <c r="L83" s="2">
        <v>40.11</v>
      </c>
      <c r="M83" s="107">
        <f t="shared" ref="M83" si="51">L83-L82</f>
        <v>0.10999999999999943</v>
      </c>
      <c r="N83" s="107">
        <f t="shared" si="39"/>
        <v>0</v>
      </c>
      <c r="O83" s="114">
        <v>67881</v>
      </c>
      <c r="P83" s="17">
        <f t="shared" ref="P83" si="52">O83-O82</f>
        <v>9</v>
      </c>
      <c r="Q83" s="18">
        <f t="shared" ref="Q83" si="53">P83*$C$2</f>
        <v>2.6073</v>
      </c>
      <c r="R83" s="114">
        <v>1066</v>
      </c>
      <c r="S83" s="17">
        <f t="shared" ref="S83" si="54">R83-R82</f>
        <v>4</v>
      </c>
      <c r="T83" s="17"/>
      <c r="U83" s="2">
        <v>33185</v>
      </c>
      <c r="V83" s="17">
        <f t="shared" ref="V83" si="55">U83-U82</f>
        <v>6</v>
      </c>
      <c r="W83" s="18">
        <f t="shared" ref="W83" si="56">V83*$C$3</f>
        <v>1.7999999999999998</v>
      </c>
      <c r="X83" s="2">
        <v>11824</v>
      </c>
      <c r="Y83" s="108">
        <f t="shared" si="43"/>
        <v>10</v>
      </c>
      <c r="Z83" s="18">
        <f t="shared" ref="Z83" si="57">Y83*$C$5*$G$4</f>
        <v>9.7840768094534702</v>
      </c>
      <c r="AA83" s="2">
        <v>798.1</v>
      </c>
      <c r="AB83" s="24">
        <f t="shared" ref="AB83" si="58">AA83-AA82</f>
        <v>1.0600000000000591</v>
      </c>
      <c r="AC83" s="17"/>
      <c r="AD83" s="24">
        <f t="shared" si="50"/>
        <v>0.81999999999997719</v>
      </c>
      <c r="AE83" s="25">
        <v>129.19999999999999</v>
      </c>
      <c r="AF83" s="17">
        <f t="shared" si="49"/>
        <v>0.39999999999997726</v>
      </c>
      <c r="AG83" s="2">
        <v>8.5</v>
      </c>
      <c r="AH83" s="29"/>
    </row>
    <row r="84" spans="1:34" x14ac:dyDescent="0.25">
      <c r="A84" s="5">
        <v>44679</v>
      </c>
      <c r="B84" s="67">
        <v>15.44</v>
      </c>
      <c r="C84" s="18">
        <f t="shared" si="20"/>
        <v>4.9999999999998934E-2</v>
      </c>
      <c r="D84" s="2">
        <v>4.68</v>
      </c>
      <c r="E84" s="107">
        <f t="shared" si="7"/>
        <v>9.9999999999997868E-3</v>
      </c>
      <c r="F84" s="2">
        <v>55.35</v>
      </c>
      <c r="G84" s="107">
        <f t="shared" si="8"/>
        <v>0.20000000000000284</v>
      </c>
      <c r="H84" s="2">
        <v>1.61</v>
      </c>
      <c r="I84" s="107">
        <f t="shared" si="9"/>
        <v>1.0000000000000009E-2</v>
      </c>
      <c r="J84" s="2">
        <v>59.45</v>
      </c>
      <c r="K84" s="107">
        <f t="shared" si="28"/>
        <v>0.15000000000000568</v>
      </c>
      <c r="L84" s="2">
        <v>40.21</v>
      </c>
      <c r="M84" s="107">
        <f t="shared" ref="M84" si="59">L84-L83</f>
        <v>0.10000000000000142</v>
      </c>
      <c r="N84" s="107">
        <f t="shared" si="39"/>
        <v>0.10000000000000142</v>
      </c>
      <c r="O84" s="114">
        <v>67893</v>
      </c>
      <c r="P84" s="17">
        <f t="shared" ref="P84" si="60">O84-O83</f>
        <v>12</v>
      </c>
      <c r="Q84" s="18">
        <f t="shared" ref="Q84" si="61">P84*$C$2</f>
        <v>3.4763999999999999</v>
      </c>
      <c r="R84" s="114">
        <v>1069</v>
      </c>
      <c r="S84" s="17">
        <f t="shared" ref="S84" si="62">R84-R83</f>
        <v>3</v>
      </c>
      <c r="T84" s="17"/>
      <c r="U84" s="2">
        <v>33189</v>
      </c>
      <c r="V84" s="17">
        <f t="shared" ref="V84" si="63">U84-U83</f>
        <v>4</v>
      </c>
      <c r="W84" s="18">
        <f t="shared" ref="W84" si="64">V84*$C$3</f>
        <v>1.2</v>
      </c>
      <c r="X84" s="2">
        <v>11834</v>
      </c>
      <c r="Y84" s="108">
        <f t="shared" ref="Y84" si="65">X84-X83</f>
        <v>10</v>
      </c>
      <c r="Z84" s="18">
        <f t="shared" ref="Z84" si="66">Y84*$C$5*$G$4</f>
        <v>9.7840768094534702</v>
      </c>
      <c r="AA84" s="2">
        <v>799.01</v>
      </c>
      <c r="AB84" s="24">
        <f t="shared" ref="AB84:AB85" si="67">AA84-AA83</f>
        <v>0.90999999999996817</v>
      </c>
      <c r="AC84" s="17"/>
      <c r="AD84" s="24">
        <f t="shared" si="50"/>
        <v>0.92000000000001436</v>
      </c>
      <c r="AE84" s="25">
        <v>129.6</v>
      </c>
      <c r="AF84" s="17">
        <f t="shared" si="49"/>
        <v>0.40000000000000568</v>
      </c>
      <c r="AG84" s="2">
        <v>9.3000000000000007</v>
      </c>
      <c r="AH84" s="29"/>
    </row>
    <row r="85" spans="1:34" x14ac:dyDescent="0.25">
      <c r="A85" s="5">
        <v>44680</v>
      </c>
      <c r="B85" s="67">
        <v>15.54</v>
      </c>
      <c r="C85" s="18">
        <f t="shared" si="20"/>
        <v>9.9999999999999645E-2</v>
      </c>
      <c r="D85" s="2">
        <v>4.7300000000000004</v>
      </c>
      <c r="E85" s="107">
        <f t="shared" si="7"/>
        <v>5.0000000000000711E-2</v>
      </c>
      <c r="F85" s="2">
        <v>55.56</v>
      </c>
      <c r="G85" s="107">
        <f t="shared" si="8"/>
        <v>0.21000000000000085</v>
      </c>
      <c r="H85" s="2">
        <v>1.62</v>
      </c>
      <c r="I85" s="107">
        <f t="shared" si="9"/>
        <v>1.0000000000000009E-2</v>
      </c>
      <c r="J85" s="2">
        <v>59.67</v>
      </c>
      <c r="K85" s="107">
        <f t="shared" si="28"/>
        <v>0.21999999999999886</v>
      </c>
      <c r="L85" s="2">
        <v>40.31</v>
      </c>
      <c r="M85" s="107">
        <f t="shared" ref="M85" si="68">L85-L84</f>
        <v>0.10000000000000142</v>
      </c>
      <c r="N85" s="107">
        <f t="shared" si="39"/>
        <v>0.10999999999999943</v>
      </c>
      <c r="O85" s="114">
        <v>67907</v>
      </c>
      <c r="P85" s="17">
        <f t="shared" ref="P85" si="69">O85-O84</f>
        <v>14</v>
      </c>
      <c r="Q85" s="18">
        <f t="shared" ref="Q85" si="70">P85*$C$2</f>
        <v>4.0558000000000005</v>
      </c>
      <c r="R85" s="114">
        <v>1074</v>
      </c>
      <c r="S85" s="17">
        <f t="shared" ref="S85" si="71">R85-R84</f>
        <v>5</v>
      </c>
      <c r="T85" s="17"/>
      <c r="U85" s="2">
        <v>33194</v>
      </c>
      <c r="V85" s="17">
        <f t="shared" ref="V85" si="72">U85-U84</f>
        <v>5</v>
      </c>
      <c r="W85" s="18">
        <f t="shared" ref="W85" si="73">V85*$C$3</f>
        <v>1.5</v>
      </c>
      <c r="X85" s="2">
        <v>11845</v>
      </c>
      <c r="Y85" s="108">
        <f t="shared" ref="Y85" si="74">X85-X84</f>
        <v>11</v>
      </c>
      <c r="Z85" s="18">
        <f t="shared" ref="Z85" si="75">Y85*$C$5*$G$4</f>
        <v>10.762484490398817</v>
      </c>
      <c r="AA85" s="2">
        <v>800.05</v>
      </c>
      <c r="AB85" s="24">
        <f t="shared" si="67"/>
        <v>1.0399999999999636</v>
      </c>
      <c r="AC85" s="17"/>
      <c r="AD85" s="24">
        <f t="shared" si="50"/>
        <v>0.9400000000000015</v>
      </c>
      <c r="AE85" s="25">
        <v>129.85</v>
      </c>
      <c r="AF85" s="17">
        <f t="shared" si="49"/>
        <v>0.25</v>
      </c>
      <c r="AG85" s="2">
        <v>8.1</v>
      </c>
      <c r="AH85" s="29"/>
    </row>
    <row r="86" spans="1:34" x14ac:dyDescent="0.25">
      <c r="A86" s="5">
        <v>44681</v>
      </c>
      <c r="B86" s="67">
        <v>15.61</v>
      </c>
      <c r="C86" s="18">
        <f t="shared" si="20"/>
        <v>7.0000000000000284E-2</v>
      </c>
      <c r="D86" s="2">
        <v>4.75</v>
      </c>
      <c r="E86" s="107">
        <f t="shared" si="7"/>
        <v>1.9999999999999574E-2</v>
      </c>
      <c r="F86" s="2">
        <v>55.96</v>
      </c>
      <c r="G86" s="107">
        <f t="shared" si="8"/>
        <v>0.39999999999999858</v>
      </c>
      <c r="H86" s="2">
        <v>1.64</v>
      </c>
      <c r="I86" s="107">
        <f t="shared" si="9"/>
        <v>1.9999999999999796E-2</v>
      </c>
      <c r="J86" s="2">
        <v>60.12</v>
      </c>
      <c r="K86" s="107">
        <f t="shared" si="28"/>
        <v>0.44999999999999574</v>
      </c>
      <c r="L86" s="2">
        <v>40.71</v>
      </c>
      <c r="M86" s="107">
        <f t="shared" ref="M86" si="76">L86-L85</f>
        <v>0.39999999999999858</v>
      </c>
      <c r="N86" s="107">
        <f t="shared" si="39"/>
        <v>0</v>
      </c>
      <c r="O86" s="114">
        <v>67923</v>
      </c>
      <c r="P86" s="17">
        <f t="shared" ref="P86" si="77">O86-O85</f>
        <v>16</v>
      </c>
      <c r="Q86" s="18">
        <f t="shared" ref="Q86:Q89" si="78">P86*$C$2</f>
        <v>4.6352000000000002</v>
      </c>
      <c r="R86" s="114">
        <v>1077</v>
      </c>
      <c r="S86" s="17">
        <f t="shared" ref="S86" si="79">R86-R85</f>
        <v>3</v>
      </c>
      <c r="T86" s="17"/>
      <c r="U86" s="2">
        <v>33198</v>
      </c>
      <c r="V86" s="17">
        <f t="shared" ref="V86" si="80">U86-U85</f>
        <v>4</v>
      </c>
      <c r="W86" s="18">
        <f t="shared" ref="W86:W89" si="81">V86*$C$3</f>
        <v>1.2</v>
      </c>
      <c r="X86" s="2">
        <v>11857</v>
      </c>
      <c r="Y86" s="108">
        <f t="shared" ref="Y86" si="82">X86-X85</f>
        <v>12</v>
      </c>
      <c r="Z86" s="18">
        <f t="shared" ref="Z86:Z89" si="83">Y86*$C$5*$G$4</f>
        <v>11.740892171344164</v>
      </c>
      <c r="AA86" s="2">
        <v>801.28</v>
      </c>
      <c r="AB86" s="24">
        <f t="shared" ref="AB86" si="84">AA86-AA85</f>
        <v>1.2300000000000182</v>
      </c>
      <c r="AC86" s="17"/>
      <c r="AD86" s="24">
        <f t="shared" si="50"/>
        <v>1.5199999999999891</v>
      </c>
      <c r="AE86" s="25">
        <v>130.01</v>
      </c>
      <c r="AF86" s="17">
        <f t="shared" si="49"/>
        <v>0.15999999999999659</v>
      </c>
      <c r="AG86" s="2"/>
      <c r="AH86" s="29"/>
    </row>
    <row r="87" spans="1:34" s="60" customFormat="1" x14ac:dyDescent="0.25">
      <c r="A87" s="32" t="s">
        <v>101</v>
      </c>
      <c r="B87" s="66"/>
      <c r="C87" s="34">
        <f>SUM(C57:C86)</f>
        <v>1.33</v>
      </c>
      <c r="D87" s="61"/>
      <c r="E87" s="66">
        <f t="shared" ref="E87:K87" si="85">SUM(E57:E86)</f>
        <v>0.9700000000000002</v>
      </c>
      <c r="F87" s="61"/>
      <c r="G87" s="66">
        <f t="shared" si="85"/>
        <v>8.5300000000000011</v>
      </c>
      <c r="H87" s="61"/>
      <c r="I87" s="66">
        <f t="shared" si="85"/>
        <v>0.37999999999999989</v>
      </c>
      <c r="J87" s="61"/>
      <c r="K87" s="66">
        <f t="shared" si="85"/>
        <v>6.9199999999999973</v>
      </c>
      <c r="L87" s="61"/>
      <c r="M87" s="66">
        <f>SUM(M57:M86)</f>
        <v>5.1499999999999986</v>
      </c>
      <c r="N87" s="66">
        <f>SUM(N57:N86)</f>
        <v>3.3800000000000026</v>
      </c>
      <c r="O87" s="116"/>
      <c r="P87" s="33">
        <f>SUM(P57:P86)</f>
        <v>464</v>
      </c>
      <c r="Q87" s="109">
        <f>SUM(Q57:Q86)</f>
        <v>134.42080000000004</v>
      </c>
      <c r="R87" s="116" t="s">
        <v>63</v>
      </c>
      <c r="S87" s="34">
        <f>SUM(S57:S86)</f>
        <v>126</v>
      </c>
      <c r="T87" s="34"/>
      <c r="U87" s="34"/>
      <c r="V87" s="34">
        <f>SUM(V57:V86)</f>
        <v>177</v>
      </c>
      <c r="W87" s="109">
        <f>SUM(W57:W86)</f>
        <v>53.100000000000009</v>
      </c>
      <c r="X87" s="34"/>
      <c r="Y87" s="129">
        <f>SUM(Z57:Z86)</f>
        <v>418.75848744460865</v>
      </c>
      <c r="Z87" s="109">
        <f>SUM(Z57:Z86)</f>
        <v>418.75848744460865</v>
      </c>
      <c r="AA87" s="34"/>
      <c r="AB87" s="61">
        <f>SUM(AB57:AB86)</f>
        <v>32.17999999999995</v>
      </c>
      <c r="AC87" s="34"/>
      <c r="AD87" s="34"/>
      <c r="AE87" s="61"/>
      <c r="AF87" s="34"/>
      <c r="AG87" s="34"/>
      <c r="AH87" s="57"/>
    </row>
    <row r="88" spans="1:34" x14ac:dyDescent="0.25">
      <c r="A88" s="5">
        <v>44682</v>
      </c>
      <c r="B88" s="67">
        <v>15.64</v>
      </c>
      <c r="C88" s="18">
        <f>B88-B86</f>
        <v>3.0000000000001137E-2</v>
      </c>
      <c r="D88" s="2">
        <v>4.83</v>
      </c>
      <c r="E88" s="107">
        <f>D88-D86</f>
        <v>8.0000000000000071E-2</v>
      </c>
      <c r="F88" s="2">
        <v>56.23</v>
      </c>
      <c r="G88" s="107">
        <f>F88-F86</f>
        <v>0.26999999999999602</v>
      </c>
      <c r="H88" s="2">
        <v>1.67</v>
      </c>
      <c r="I88" s="107">
        <f>H88-H86</f>
        <v>3.0000000000000027E-2</v>
      </c>
      <c r="J88" s="2">
        <v>60.36</v>
      </c>
      <c r="K88" s="107">
        <f>J88-J86</f>
        <v>0.24000000000000199</v>
      </c>
      <c r="L88" s="2">
        <v>40.89</v>
      </c>
      <c r="M88" s="107">
        <f>L88-L86</f>
        <v>0.17999999999999972</v>
      </c>
      <c r="N88" s="107">
        <f>G88-M88</f>
        <v>8.9999999999996305E-2</v>
      </c>
      <c r="O88" s="114">
        <v>67943</v>
      </c>
      <c r="P88" s="17">
        <f>O88-O86</f>
        <v>20</v>
      </c>
      <c r="Q88" s="18">
        <f t="shared" si="78"/>
        <v>5.7940000000000005</v>
      </c>
      <c r="R88" s="114">
        <v>1082</v>
      </c>
      <c r="S88" s="17">
        <f>R88-R86</f>
        <v>5</v>
      </c>
      <c r="T88" s="17"/>
      <c r="U88" s="2">
        <v>33203</v>
      </c>
      <c r="V88" s="17">
        <f>U88-U86</f>
        <v>5</v>
      </c>
      <c r="W88" s="18">
        <f t="shared" si="81"/>
        <v>1.5</v>
      </c>
      <c r="X88" s="2">
        <v>11866</v>
      </c>
      <c r="Y88" s="108">
        <f>X88-X86</f>
        <v>9</v>
      </c>
      <c r="Z88" s="18">
        <f t="shared" si="83"/>
        <v>8.8056691285081232</v>
      </c>
      <c r="AA88" s="2">
        <v>802.64</v>
      </c>
      <c r="AB88" s="17">
        <f>AA88-AA86</f>
        <v>1.3600000000000136</v>
      </c>
      <c r="AC88" s="17"/>
      <c r="AD88" s="24">
        <f>C88+E88+G88+I88+K88+M88+AF88</f>
        <v>1.030000000000016</v>
      </c>
      <c r="AE88" s="25">
        <v>130.21</v>
      </c>
      <c r="AF88" s="24">
        <f>AE88-AE86</f>
        <v>0.20000000000001705</v>
      </c>
      <c r="AG88" s="2"/>
      <c r="AH88" s="29"/>
    </row>
    <row r="89" spans="1:34" x14ac:dyDescent="0.25">
      <c r="A89" s="5">
        <v>44683</v>
      </c>
      <c r="B89" s="67">
        <v>15.7</v>
      </c>
      <c r="C89" s="18">
        <f t="shared" ref="C89:C105" si="86">B89-B88</f>
        <v>5.9999999999998721E-2</v>
      </c>
      <c r="D89" s="2">
        <v>4.88</v>
      </c>
      <c r="E89" s="107">
        <f t="shared" ref="E89:E105" si="87">D89-D88</f>
        <v>4.9999999999999822E-2</v>
      </c>
      <c r="F89" s="2">
        <v>56.63</v>
      </c>
      <c r="G89" s="107">
        <f t="shared" ref="G89:G105" si="88">F89-F88</f>
        <v>0.40000000000000568</v>
      </c>
      <c r="H89" s="2">
        <v>1.69</v>
      </c>
      <c r="I89" s="107">
        <f t="shared" ref="I89:I105" si="89">H89-H88</f>
        <v>2.0000000000000018E-2</v>
      </c>
      <c r="J89" s="2">
        <v>60.67</v>
      </c>
      <c r="K89" s="107">
        <f t="shared" ref="K89:K105" si="90">J89-J88</f>
        <v>0.31000000000000227</v>
      </c>
      <c r="L89" s="2">
        <v>41.09</v>
      </c>
      <c r="M89" s="107">
        <f t="shared" ref="M89:M105" si="91">L89-L88</f>
        <v>0.20000000000000284</v>
      </c>
      <c r="N89" s="107">
        <f t="shared" ref="N89:N101" si="92">G89-M89</f>
        <v>0.20000000000000284</v>
      </c>
      <c r="O89" s="114">
        <v>67964</v>
      </c>
      <c r="P89" s="17">
        <f t="shared" ref="P89:P105" si="93">O89-O88</f>
        <v>21</v>
      </c>
      <c r="Q89" s="18">
        <f t="shared" si="78"/>
        <v>6.0837000000000003</v>
      </c>
      <c r="R89" s="114">
        <v>1088</v>
      </c>
      <c r="S89" s="17">
        <f t="shared" ref="S89:S105" si="94">R89-R88</f>
        <v>6</v>
      </c>
      <c r="T89" s="17"/>
      <c r="U89" s="2">
        <v>33208</v>
      </c>
      <c r="V89" s="68">
        <f t="shared" ref="V89:V105" si="95">U89-U88</f>
        <v>5</v>
      </c>
      <c r="W89" s="18">
        <f t="shared" si="81"/>
        <v>1.5</v>
      </c>
      <c r="X89" s="2">
        <v>11876</v>
      </c>
      <c r="Y89" s="108">
        <f t="shared" ref="Y89:Y105" si="96">X89-X88</f>
        <v>10</v>
      </c>
      <c r="Z89" s="18">
        <f t="shared" si="83"/>
        <v>9.7840768094534702</v>
      </c>
      <c r="AA89" s="2">
        <v>804.03</v>
      </c>
      <c r="AB89" s="17">
        <f t="shared" ref="AB89:AB105" si="97">AA89-AA88</f>
        <v>1.3899999999999864</v>
      </c>
      <c r="AC89" s="17"/>
      <c r="AD89" s="24">
        <f t="shared" ref="AD89" si="98">C89+E89+G89+I89+K89+M89+AF89</f>
        <v>1.3300000000000014</v>
      </c>
      <c r="AE89" s="25">
        <v>130.5</v>
      </c>
      <c r="AF89" s="24">
        <f t="shared" ref="AF89:AF105" si="99">AE89-AE88</f>
        <v>0.28999999999999204</v>
      </c>
      <c r="AG89" s="2"/>
      <c r="AH89" s="29"/>
    </row>
    <row r="90" spans="1:34" x14ac:dyDescent="0.25">
      <c r="A90" s="5">
        <v>44684</v>
      </c>
      <c r="B90" s="67">
        <v>15.73</v>
      </c>
      <c r="C90" s="18">
        <f t="shared" si="86"/>
        <v>3.0000000000001137E-2</v>
      </c>
      <c r="D90" s="2">
        <v>4.91</v>
      </c>
      <c r="E90" s="107">
        <f t="shared" si="87"/>
        <v>3.0000000000000249E-2</v>
      </c>
      <c r="F90" s="2">
        <v>56.8</v>
      </c>
      <c r="G90" s="107">
        <f t="shared" si="88"/>
        <v>0.1699999999999946</v>
      </c>
      <c r="H90" s="2">
        <v>1.71</v>
      </c>
      <c r="I90" s="107">
        <f t="shared" si="89"/>
        <v>2.0000000000000018E-2</v>
      </c>
      <c r="J90" s="2">
        <v>60.88</v>
      </c>
      <c r="K90" s="107">
        <f t="shared" si="90"/>
        <v>0.21000000000000085</v>
      </c>
      <c r="L90" s="2">
        <v>41.21</v>
      </c>
      <c r="M90" s="107">
        <f t="shared" si="91"/>
        <v>0.11999999999999744</v>
      </c>
      <c r="N90" s="107">
        <f t="shared" si="92"/>
        <v>4.9999999999997158E-2</v>
      </c>
      <c r="O90" s="114">
        <v>67977</v>
      </c>
      <c r="P90" s="17">
        <f t="shared" si="93"/>
        <v>13</v>
      </c>
      <c r="Q90" s="18">
        <f t="shared" ref="Q90" si="100">P90*$C$2</f>
        <v>3.7661000000000002</v>
      </c>
      <c r="R90" s="114">
        <v>1092</v>
      </c>
      <c r="S90" s="17">
        <f t="shared" si="94"/>
        <v>4</v>
      </c>
      <c r="T90" s="17"/>
      <c r="U90" s="2">
        <v>33212</v>
      </c>
      <c r="V90" s="68">
        <f t="shared" si="95"/>
        <v>4</v>
      </c>
      <c r="W90" s="18">
        <f t="shared" ref="W90" si="101">V90*$C$3</f>
        <v>1.2</v>
      </c>
      <c r="X90" s="2">
        <v>11883</v>
      </c>
      <c r="Y90" s="108">
        <f t="shared" si="96"/>
        <v>7</v>
      </c>
      <c r="Z90" s="18">
        <f t="shared" ref="Z90" si="102">Y90*$C$5*$G$4</f>
        <v>6.8488537666174292</v>
      </c>
      <c r="AA90" s="2">
        <v>804.8</v>
      </c>
      <c r="AB90" s="17">
        <f t="shared" si="97"/>
        <v>0.76999999999998181</v>
      </c>
      <c r="AC90" s="17"/>
      <c r="AD90" s="24">
        <f t="shared" ref="AD90:AD97" si="103">C90+E90+G90+I90+K90+M90+AF90</f>
        <v>0.5799999999999943</v>
      </c>
      <c r="AE90" s="25">
        <v>130.5</v>
      </c>
      <c r="AF90" s="24">
        <f t="shared" si="99"/>
        <v>0</v>
      </c>
      <c r="AG90" s="2"/>
      <c r="AH90" s="29"/>
    </row>
    <row r="91" spans="1:34" x14ac:dyDescent="0.25">
      <c r="A91" s="5">
        <v>44685</v>
      </c>
      <c r="B91" s="2">
        <v>15.78</v>
      </c>
      <c r="C91" s="18">
        <f t="shared" si="86"/>
        <v>4.9999999999998934E-2</v>
      </c>
      <c r="D91" s="2">
        <v>4.9400000000000004</v>
      </c>
      <c r="E91" s="107">
        <f t="shared" si="87"/>
        <v>3.0000000000000249E-2</v>
      </c>
      <c r="F91" s="2">
        <v>57.09</v>
      </c>
      <c r="G91" s="107">
        <f t="shared" si="88"/>
        <v>0.29000000000000625</v>
      </c>
      <c r="H91" s="2">
        <v>1.71</v>
      </c>
      <c r="I91" s="107">
        <f t="shared" si="89"/>
        <v>0</v>
      </c>
      <c r="J91" s="2">
        <v>61.03</v>
      </c>
      <c r="K91" s="107">
        <f t="shared" si="90"/>
        <v>0.14999999999999858</v>
      </c>
      <c r="L91" s="2">
        <v>41.32</v>
      </c>
      <c r="M91" s="107">
        <f t="shared" si="91"/>
        <v>0.10999999999999943</v>
      </c>
      <c r="N91" s="107">
        <f t="shared" si="92"/>
        <v>0.18000000000000682</v>
      </c>
      <c r="O91" s="114">
        <v>67990</v>
      </c>
      <c r="P91" s="17">
        <f t="shared" si="93"/>
        <v>13</v>
      </c>
      <c r="Q91" s="18">
        <f t="shared" ref="Q91" si="104">P91*$C$2</f>
        <v>3.7661000000000002</v>
      </c>
      <c r="R91" s="114">
        <v>1096</v>
      </c>
      <c r="S91" s="17">
        <f t="shared" si="94"/>
        <v>4</v>
      </c>
      <c r="T91" s="17"/>
      <c r="U91" s="2">
        <v>33216</v>
      </c>
      <c r="V91" s="68">
        <f t="shared" si="95"/>
        <v>4</v>
      </c>
      <c r="W91" s="18">
        <f t="shared" ref="W91" si="105">V91*$C$3</f>
        <v>1.2</v>
      </c>
      <c r="X91" s="2">
        <v>11893</v>
      </c>
      <c r="Y91" s="108">
        <f t="shared" si="96"/>
        <v>10</v>
      </c>
      <c r="Z91" s="18">
        <f t="shared" ref="Z91" si="106">Y91*$C$5*$G$4</f>
        <v>9.7840768094534702</v>
      </c>
      <c r="AA91" s="2">
        <v>805.7</v>
      </c>
      <c r="AB91" s="17">
        <f t="shared" si="97"/>
        <v>0.90000000000009095</v>
      </c>
      <c r="AC91" s="17"/>
      <c r="AD91" s="24">
        <f t="shared" si="103"/>
        <v>0.68000000000001481</v>
      </c>
      <c r="AE91" s="25">
        <v>130.55000000000001</v>
      </c>
      <c r="AF91" s="24">
        <f t="shared" si="99"/>
        <v>5.0000000000011369E-2</v>
      </c>
      <c r="AG91" s="2"/>
      <c r="AH91" s="29"/>
    </row>
    <row r="92" spans="1:34" x14ac:dyDescent="0.25">
      <c r="A92" s="32">
        <v>44686</v>
      </c>
      <c r="B92" s="2">
        <v>15.83</v>
      </c>
      <c r="C92" s="18">
        <f t="shared" si="86"/>
        <v>5.0000000000000711E-2</v>
      </c>
      <c r="D92" s="2">
        <v>4.97</v>
      </c>
      <c r="E92" s="107">
        <f t="shared" si="87"/>
        <v>2.9999999999999361E-2</v>
      </c>
      <c r="F92" s="2">
        <v>57.21</v>
      </c>
      <c r="G92" s="107">
        <f t="shared" si="88"/>
        <v>0.11999999999999744</v>
      </c>
      <c r="H92" s="2">
        <v>1.72</v>
      </c>
      <c r="I92" s="107">
        <f t="shared" si="89"/>
        <v>1.0000000000000009E-2</v>
      </c>
      <c r="J92" s="2">
        <v>61.14</v>
      </c>
      <c r="K92" s="107">
        <f t="shared" si="90"/>
        <v>0.10999999999999943</v>
      </c>
      <c r="L92" s="2">
        <v>41.41</v>
      </c>
      <c r="M92" s="107">
        <f t="shared" si="91"/>
        <v>8.9999999999996305E-2</v>
      </c>
      <c r="N92" s="107">
        <f t="shared" si="92"/>
        <v>3.0000000000001137E-2</v>
      </c>
      <c r="O92" s="114">
        <v>68000</v>
      </c>
      <c r="P92" s="17">
        <f t="shared" si="93"/>
        <v>10</v>
      </c>
      <c r="Q92" s="18">
        <f t="shared" ref="Q92" si="107">P92*$C$2</f>
        <v>2.8970000000000002</v>
      </c>
      <c r="R92" s="114">
        <v>1101</v>
      </c>
      <c r="S92" s="17">
        <f t="shared" si="94"/>
        <v>5</v>
      </c>
      <c r="T92" s="17"/>
      <c r="U92" s="2">
        <v>33221</v>
      </c>
      <c r="V92" s="68">
        <f t="shared" si="95"/>
        <v>5</v>
      </c>
      <c r="W92" s="18">
        <f t="shared" ref="W92" si="108">V92*$C$3</f>
        <v>1.5</v>
      </c>
      <c r="X92" s="2">
        <v>11902</v>
      </c>
      <c r="Y92" s="108">
        <f t="shared" si="96"/>
        <v>9</v>
      </c>
      <c r="Z92" s="18">
        <f t="shared" ref="Z92" si="109">Y92*$C$5*$G$4</f>
        <v>8.8056691285081232</v>
      </c>
      <c r="AA92" s="2">
        <v>806.48</v>
      </c>
      <c r="AB92" s="17">
        <f t="shared" si="97"/>
        <v>0.77999999999997272</v>
      </c>
      <c r="AC92" s="17"/>
      <c r="AD92" s="24">
        <f t="shared" si="103"/>
        <v>0.45999999999997621</v>
      </c>
      <c r="AE92" s="25">
        <v>130.6</v>
      </c>
      <c r="AF92" s="24">
        <f t="shared" si="99"/>
        <v>4.9999999999982947E-2</v>
      </c>
      <c r="AG92" s="2"/>
      <c r="AH92" s="29"/>
    </row>
    <row r="93" spans="1:34" x14ac:dyDescent="0.25">
      <c r="A93" s="32">
        <v>44687</v>
      </c>
      <c r="B93" s="2">
        <v>15.88</v>
      </c>
      <c r="C93" s="18">
        <f t="shared" si="86"/>
        <v>5.0000000000000711E-2</v>
      </c>
      <c r="D93" s="2">
        <v>4.99</v>
      </c>
      <c r="E93" s="107">
        <f t="shared" si="87"/>
        <v>2.0000000000000462E-2</v>
      </c>
      <c r="F93" s="2">
        <v>57.4</v>
      </c>
      <c r="G93" s="107">
        <f t="shared" si="88"/>
        <v>0.18999999999999773</v>
      </c>
      <c r="H93" s="2">
        <v>1.72</v>
      </c>
      <c r="I93" s="107">
        <f t="shared" si="89"/>
        <v>0</v>
      </c>
      <c r="J93" s="2">
        <v>61.32</v>
      </c>
      <c r="K93" s="107">
        <f t="shared" si="90"/>
        <v>0.17999999999999972</v>
      </c>
      <c r="L93" s="2">
        <v>41.54</v>
      </c>
      <c r="M93" s="107">
        <f t="shared" si="91"/>
        <v>0.13000000000000256</v>
      </c>
      <c r="N93" s="107">
        <f t="shared" si="92"/>
        <v>5.9999999999995168E-2</v>
      </c>
      <c r="O93" s="114">
        <v>68013</v>
      </c>
      <c r="P93" s="17">
        <f t="shared" si="93"/>
        <v>13</v>
      </c>
      <c r="Q93" s="18">
        <f t="shared" ref="Q93" si="110">P93*$C$2</f>
        <v>3.7661000000000002</v>
      </c>
      <c r="R93" s="114">
        <v>1104</v>
      </c>
      <c r="S93" s="17">
        <f t="shared" si="94"/>
        <v>3</v>
      </c>
      <c r="T93" s="17"/>
      <c r="U93" s="2">
        <v>33229</v>
      </c>
      <c r="V93" s="68">
        <f t="shared" si="95"/>
        <v>8</v>
      </c>
      <c r="W93" s="18">
        <f t="shared" ref="W93" si="111">V93*$C$3</f>
        <v>2.4</v>
      </c>
      <c r="X93" s="2">
        <v>11911</v>
      </c>
      <c r="Y93" s="108">
        <f t="shared" si="96"/>
        <v>9</v>
      </c>
      <c r="Z93" s="18">
        <f t="shared" ref="Z93" si="112">Y93*$C$5*$G$4</f>
        <v>8.8056691285081232</v>
      </c>
      <c r="AA93" s="2">
        <v>807.4</v>
      </c>
      <c r="AB93" s="17">
        <f t="shared" si="97"/>
        <v>0.91999999999995907</v>
      </c>
      <c r="AC93" s="17"/>
      <c r="AD93" s="24">
        <f t="shared" si="103"/>
        <v>0.66999999999999549</v>
      </c>
      <c r="AE93" s="25">
        <v>130.69999999999999</v>
      </c>
      <c r="AF93" s="24">
        <f t="shared" si="99"/>
        <v>9.9999999999994316E-2</v>
      </c>
      <c r="AG93" s="2"/>
      <c r="AH93" s="29"/>
    </row>
    <row r="94" spans="1:34" x14ac:dyDescent="0.25">
      <c r="A94" s="36">
        <v>44688</v>
      </c>
      <c r="B94" s="2">
        <v>15.95</v>
      </c>
      <c r="C94" s="18">
        <f t="shared" si="86"/>
        <v>6.9999999999998508E-2</v>
      </c>
      <c r="D94" s="2">
        <v>5.04</v>
      </c>
      <c r="E94" s="107">
        <f t="shared" si="87"/>
        <v>4.9999999999999822E-2</v>
      </c>
      <c r="F94" s="2">
        <v>57.65</v>
      </c>
      <c r="G94" s="107">
        <f t="shared" si="88"/>
        <v>0.25</v>
      </c>
      <c r="H94" s="2">
        <v>1.74</v>
      </c>
      <c r="I94" s="107">
        <f t="shared" si="89"/>
        <v>2.0000000000000018E-2</v>
      </c>
      <c r="J94" s="2">
        <v>61.64</v>
      </c>
      <c r="K94" s="107">
        <f t="shared" si="90"/>
        <v>0.32000000000000028</v>
      </c>
      <c r="L94" s="2">
        <v>41.77</v>
      </c>
      <c r="M94" s="107">
        <f t="shared" si="91"/>
        <v>0.23000000000000398</v>
      </c>
      <c r="N94" s="107">
        <f t="shared" si="92"/>
        <v>1.9999999999996021E-2</v>
      </c>
      <c r="O94" s="114">
        <v>68051</v>
      </c>
      <c r="P94" s="17">
        <f t="shared" si="93"/>
        <v>38</v>
      </c>
      <c r="Q94" s="18">
        <f t="shared" ref="Q94" si="113">P94*$C$2</f>
        <v>11.008600000000001</v>
      </c>
      <c r="R94" s="114">
        <v>1110</v>
      </c>
      <c r="S94" s="17">
        <f t="shared" si="94"/>
        <v>6</v>
      </c>
      <c r="T94" s="17"/>
      <c r="U94" s="2">
        <v>33238</v>
      </c>
      <c r="V94" s="68">
        <f t="shared" si="95"/>
        <v>9</v>
      </c>
      <c r="W94" s="18">
        <f t="shared" ref="W94" si="114">V94*$C$3</f>
        <v>2.6999999999999997</v>
      </c>
      <c r="X94" s="2">
        <v>11921</v>
      </c>
      <c r="Y94" s="108">
        <f t="shared" si="96"/>
        <v>10</v>
      </c>
      <c r="Z94" s="18">
        <f t="shared" ref="Z94" si="115">Y94*$C$5*$G$4</f>
        <v>9.7840768094534702</v>
      </c>
      <c r="AA94" s="2">
        <v>809.05</v>
      </c>
      <c r="AB94" s="17">
        <f t="shared" si="97"/>
        <v>1.6499999999999773</v>
      </c>
      <c r="AC94" s="17"/>
      <c r="AD94" s="24">
        <f t="shared" si="103"/>
        <v>1.490000000000014</v>
      </c>
      <c r="AE94" s="25">
        <v>131.25</v>
      </c>
      <c r="AF94" s="24">
        <f t="shared" si="99"/>
        <v>0.55000000000001137</v>
      </c>
      <c r="AG94" s="2"/>
      <c r="AH94" s="29"/>
    </row>
    <row r="95" spans="1:34" x14ac:dyDescent="0.25">
      <c r="A95" s="5">
        <v>44690</v>
      </c>
      <c r="B95" s="2">
        <v>16</v>
      </c>
      <c r="C95" s="18">
        <f t="shared" si="86"/>
        <v>5.0000000000000711E-2</v>
      </c>
      <c r="D95" s="2">
        <v>5.04</v>
      </c>
      <c r="E95" s="107">
        <f t="shared" si="87"/>
        <v>0</v>
      </c>
      <c r="F95" s="2">
        <v>57.76</v>
      </c>
      <c r="G95" s="107">
        <f t="shared" si="88"/>
        <v>0.10999999999999943</v>
      </c>
      <c r="H95" s="2">
        <v>1.74</v>
      </c>
      <c r="I95" s="107">
        <f t="shared" si="89"/>
        <v>0</v>
      </c>
      <c r="J95" s="2">
        <v>61.79</v>
      </c>
      <c r="K95" s="107">
        <f t="shared" si="90"/>
        <v>0.14999999999999858</v>
      </c>
      <c r="L95" s="2">
        <v>41.88</v>
      </c>
      <c r="M95" s="107">
        <f t="shared" si="91"/>
        <v>0.10999999999999943</v>
      </c>
      <c r="N95" s="107">
        <f t="shared" si="92"/>
        <v>0</v>
      </c>
      <c r="O95" s="114">
        <v>68068</v>
      </c>
      <c r="P95" s="17">
        <f t="shared" si="93"/>
        <v>17</v>
      </c>
      <c r="Q95" s="18">
        <f t="shared" ref="Q95" si="116">P95*$C$2</f>
        <v>4.9249000000000001</v>
      </c>
      <c r="R95" s="114">
        <v>1111</v>
      </c>
      <c r="S95" s="17">
        <f t="shared" si="94"/>
        <v>1</v>
      </c>
      <c r="T95" s="17"/>
      <c r="U95" s="2">
        <v>33245</v>
      </c>
      <c r="V95" s="68">
        <f t="shared" si="95"/>
        <v>7</v>
      </c>
      <c r="W95" s="18">
        <f t="shared" ref="W95" si="117">V95*$C$3</f>
        <v>2.1</v>
      </c>
      <c r="X95" s="2">
        <v>11925</v>
      </c>
      <c r="Y95" s="108">
        <f t="shared" si="96"/>
        <v>4</v>
      </c>
      <c r="Z95" s="18">
        <f t="shared" ref="Z95" si="118">Y95*$C$5*$G$4</f>
        <v>3.9136307237813881</v>
      </c>
      <c r="AA95" s="2">
        <v>810.02</v>
      </c>
      <c r="AB95" s="17">
        <f t="shared" si="97"/>
        <v>0.97000000000002728</v>
      </c>
      <c r="AC95" s="17"/>
      <c r="AD95" s="24">
        <f t="shared" si="103"/>
        <v>0.76000000000000156</v>
      </c>
      <c r="AE95" s="25">
        <v>131.59</v>
      </c>
      <c r="AF95" s="24">
        <f t="shared" si="99"/>
        <v>0.34000000000000341</v>
      </c>
      <c r="AG95" s="2"/>
      <c r="AH95" s="29"/>
    </row>
    <row r="96" spans="1:34" x14ac:dyDescent="0.25">
      <c r="A96" s="5">
        <v>44691</v>
      </c>
      <c r="B96" s="2">
        <v>16.04</v>
      </c>
      <c r="C96" s="18">
        <f t="shared" si="86"/>
        <v>3.9999999999999147E-2</v>
      </c>
      <c r="D96" s="2">
        <v>5.04</v>
      </c>
      <c r="E96" s="107">
        <f t="shared" si="87"/>
        <v>0</v>
      </c>
      <c r="F96" s="2">
        <v>57.91</v>
      </c>
      <c r="G96" s="107">
        <f t="shared" si="88"/>
        <v>0.14999999999999858</v>
      </c>
      <c r="H96" s="2">
        <v>1.74</v>
      </c>
      <c r="I96" s="107">
        <f t="shared" si="89"/>
        <v>0</v>
      </c>
      <c r="J96" s="2">
        <v>61.94</v>
      </c>
      <c r="K96" s="107">
        <f t="shared" si="90"/>
        <v>0.14999999999999858</v>
      </c>
      <c r="L96" s="2">
        <v>42.02</v>
      </c>
      <c r="M96" s="107">
        <f t="shared" si="91"/>
        <v>0.14000000000000057</v>
      </c>
      <c r="N96" s="107">
        <f t="shared" si="92"/>
        <v>9.9999999999980105E-3</v>
      </c>
      <c r="O96" s="114">
        <v>68078</v>
      </c>
      <c r="P96" s="17">
        <f t="shared" si="93"/>
        <v>10</v>
      </c>
      <c r="Q96" s="18">
        <f t="shared" ref="Q96" si="119">P96*$C$2</f>
        <v>2.8970000000000002</v>
      </c>
      <c r="R96" s="114">
        <v>1113</v>
      </c>
      <c r="S96" s="17">
        <f t="shared" si="94"/>
        <v>2</v>
      </c>
      <c r="T96" s="17"/>
      <c r="U96" s="2">
        <v>33250</v>
      </c>
      <c r="V96" s="68">
        <f t="shared" si="95"/>
        <v>5</v>
      </c>
      <c r="W96" s="18">
        <f t="shared" ref="W96" si="120">V96*$C$3</f>
        <v>1.5</v>
      </c>
      <c r="X96" s="2">
        <v>11930</v>
      </c>
      <c r="Y96" s="108">
        <f t="shared" si="96"/>
        <v>5</v>
      </c>
      <c r="Z96" s="18">
        <f t="shared" ref="Z96" si="121">Y96*$C$5*$G$4</f>
        <v>4.8920384047267351</v>
      </c>
      <c r="AA96" s="2">
        <v>810.82</v>
      </c>
      <c r="AB96" s="17">
        <f t="shared" si="97"/>
        <v>0.80000000000006821</v>
      </c>
      <c r="AC96" s="17"/>
      <c r="AD96" s="24">
        <f t="shared" si="103"/>
        <v>0.78999999999999915</v>
      </c>
      <c r="AE96" s="25">
        <v>131.9</v>
      </c>
      <c r="AF96" s="24">
        <f t="shared" si="99"/>
        <v>0.31000000000000227</v>
      </c>
      <c r="AG96" s="2"/>
      <c r="AH96" s="29"/>
    </row>
    <row r="97" spans="1:34" x14ac:dyDescent="0.25">
      <c r="A97" s="5">
        <v>44692</v>
      </c>
      <c r="B97" s="2">
        <v>16.11</v>
      </c>
      <c r="C97" s="18">
        <f t="shared" si="86"/>
        <v>7.0000000000000284E-2</v>
      </c>
      <c r="D97" s="2">
        <v>5.04</v>
      </c>
      <c r="E97" s="107">
        <f t="shared" si="87"/>
        <v>0</v>
      </c>
      <c r="F97" s="2">
        <v>58</v>
      </c>
      <c r="G97" s="107">
        <f t="shared" si="88"/>
        <v>9.0000000000003411E-2</v>
      </c>
      <c r="H97" s="2">
        <v>1.74</v>
      </c>
      <c r="I97" s="107">
        <f t="shared" si="89"/>
        <v>0</v>
      </c>
      <c r="J97" s="2">
        <v>62.06</v>
      </c>
      <c r="K97" s="107">
        <f t="shared" si="90"/>
        <v>0.12000000000000455</v>
      </c>
      <c r="L97" s="2">
        <v>42.11</v>
      </c>
      <c r="M97" s="107">
        <f t="shared" si="91"/>
        <v>8.9999999999996305E-2</v>
      </c>
      <c r="N97" s="107">
        <f t="shared" si="92"/>
        <v>7.1054273576010019E-15</v>
      </c>
      <c r="O97" s="114">
        <v>68089</v>
      </c>
      <c r="P97" s="17">
        <f t="shared" si="93"/>
        <v>11</v>
      </c>
      <c r="Q97" s="18">
        <f t="shared" ref="Q97" si="122">P97*$C$2</f>
        <v>3.1867000000000001</v>
      </c>
      <c r="R97" s="114">
        <v>1115</v>
      </c>
      <c r="S97" s="17">
        <f t="shared" si="94"/>
        <v>2</v>
      </c>
      <c r="T97" s="17"/>
      <c r="U97" s="2">
        <v>33254</v>
      </c>
      <c r="V97" s="68">
        <f t="shared" si="95"/>
        <v>4</v>
      </c>
      <c r="W97" s="18">
        <f t="shared" ref="W97" si="123">V97*$C$3</f>
        <v>1.2</v>
      </c>
      <c r="X97" s="2">
        <v>11933</v>
      </c>
      <c r="Y97" s="108">
        <f t="shared" si="96"/>
        <v>3</v>
      </c>
      <c r="Z97" s="18">
        <f t="shared" ref="Z97" si="124">Y97*$C$5*$G$4</f>
        <v>2.9352230428360411</v>
      </c>
      <c r="AA97" s="2">
        <v>811.6</v>
      </c>
      <c r="AB97" s="17">
        <f t="shared" si="97"/>
        <v>0.77999999999997272</v>
      </c>
      <c r="AC97" s="17"/>
      <c r="AD97" s="24">
        <f t="shared" si="103"/>
        <v>0.77000000000001023</v>
      </c>
      <c r="AE97" s="25">
        <v>132.30000000000001</v>
      </c>
      <c r="AF97" s="24">
        <f t="shared" si="99"/>
        <v>0.40000000000000568</v>
      </c>
      <c r="AG97" s="2"/>
      <c r="AH97" s="29"/>
    </row>
    <row r="98" spans="1:34" x14ac:dyDescent="0.25">
      <c r="A98" s="5">
        <v>44693</v>
      </c>
      <c r="B98" s="2">
        <v>16.190000000000001</v>
      </c>
      <c r="C98" s="18">
        <f t="shared" si="86"/>
        <v>8.0000000000001847E-2</v>
      </c>
      <c r="D98" s="2">
        <v>5.04</v>
      </c>
      <c r="E98" s="107">
        <f t="shared" si="87"/>
        <v>0</v>
      </c>
      <c r="F98" s="2">
        <v>58.1</v>
      </c>
      <c r="G98" s="107">
        <f t="shared" si="88"/>
        <v>0.10000000000000142</v>
      </c>
      <c r="H98" s="2">
        <v>1.74</v>
      </c>
      <c r="I98" s="107">
        <f t="shared" si="89"/>
        <v>0</v>
      </c>
      <c r="J98" s="2">
        <v>62.18</v>
      </c>
      <c r="K98" s="107">
        <f t="shared" si="90"/>
        <v>0.11999999999999744</v>
      </c>
      <c r="L98" s="2">
        <v>42.21</v>
      </c>
      <c r="M98" s="107">
        <f t="shared" si="91"/>
        <v>0.10000000000000142</v>
      </c>
      <c r="N98" s="107">
        <f t="shared" si="92"/>
        <v>0</v>
      </c>
      <c r="O98" s="114">
        <v>68105</v>
      </c>
      <c r="P98" s="17">
        <f t="shared" si="93"/>
        <v>16</v>
      </c>
      <c r="Q98" s="18">
        <f t="shared" ref="Q98" si="125">P98*$C$2</f>
        <v>4.6352000000000002</v>
      </c>
      <c r="R98" s="114">
        <v>1117</v>
      </c>
      <c r="S98" s="17">
        <f t="shared" si="94"/>
        <v>2</v>
      </c>
      <c r="T98" s="17"/>
      <c r="U98" s="2">
        <v>33261</v>
      </c>
      <c r="V98" s="68">
        <f t="shared" si="95"/>
        <v>7</v>
      </c>
      <c r="W98" s="18">
        <f t="shared" ref="W98" si="126">V98*$C$3</f>
        <v>2.1</v>
      </c>
      <c r="X98" s="2">
        <v>11936</v>
      </c>
      <c r="Y98" s="108">
        <f t="shared" si="96"/>
        <v>3</v>
      </c>
      <c r="Z98" s="18">
        <f t="shared" ref="Z98" si="127">Y98*$C$5*$G$4</f>
        <v>2.9352230428360411</v>
      </c>
      <c r="AA98" s="2">
        <v>812.11</v>
      </c>
      <c r="AB98" s="17">
        <f t="shared" si="97"/>
        <v>0.50999999999999091</v>
      </c>
      <c r="AC98" s="17"/>
      <c r="AD98" s="24">
        <f t="shared" ref="AD98" si="128">C98+E98+G98+I98+K98+M98+AF98</f>
        <v>0.40000000000000213</v>
      </c>
      <c r="AE98" s="25">
        <v>132.30000000000001</v>
      </c>
      <c r="AF98" s="24">
        <f t="shared" si="99"/>
        <v>0</v>
      </c>
      <c r="AG98" s="2"/>
      <c r="AH98" s="29"/>
    </row>
    <row r="99" spans="1:34" x14ac:dyDescent="0.25">
      <c r="A99" s="5">
        <v>44694</v>
      </c>
      <c r="B99" s="2">
        <v>16.23</v>
      </c>
      <c r="C99" s="18">
        <f t="shared" si="86"/>
        <v>3.9999999999999147E-2</v>
      </c>
      <c r="D99" s="2">
        <v>5.04</v>
      </c>
      <c r="E99" s="107">
        <f t="shared" si="87"/>
        <v>0</v>
      </c>
      <c r="F99" s="2">
        <v>58.2</v>
      </c>
      <c r="G99" s="107">
        <f t="shared" si="88"/>
        <v>0.10000000000000142</v>
      </c>
      <c r="H99" s="2">
        <v>1.74</v>
      </c>
      <c r="I99" s="107">
        <f t="shared" si="89"/>
        <v>0</v>
      </c>
      <c r="J99" s="2">
        <v>62.31</v>
      </c>
      <c r="K99" s="107">
        <f t="shared" si="90"/>
        <v>0.13000000000000256</v>
      </c>
      <c r="L99" s="2">
        <v>42.31</v>
      </c>
      <c r="M99" s="107">
        <f t="shared" si="91"/>
        <v>0.10000000000000142</v>
      </c>
      <c r="N99" s="107">
        <f t="shared" si="92"/>
        <v>0</v>
      </c>
      <c r="O99" s="114">
        <v>68115</v>
      </c>
      <c r="P99" s="17">
        <f t="shared" si="93"/>
        <v>10</v>
      </c>
      <c r="Q99" s="18">
        <f t="shared" ref="Q99" si="129">P99*$C$2</f>
        <v>2.8970000000000002</v>
      </c>
      <c r="R99" s="114">
        <v>1119</v>
      </c>
      <c r="S99" s="17">
        <f t="shared" si="94"/>
        <v>2</v>
      </c>
      <c r="T99" s="17"/>
      <c r="U99" s="2">
        <v>33264</v>
      </c>
      <c r="V99" s="68">
        <f t="shared" si="95"/>
        <v>3</v>
      </c>
      <c r="W99" s="18">
        <f t="shared" ref="W99" si="130">V99*$C$3</f>
        <v>0.89999999999999991</v>
      </c>
      <c r="X99" s="2">
        <v>11939</v>
      </c>
      <c r="Y99" s="108">
        <f t="shared" si="96"/>
        <v>3</v>
      </c>
      <c r="Z99" s="18">
        <f t="shared" ref="Z99" si="131">Y99*$C$5*$G$4</f>
        <v>2.9352230428360411</v>
      </c>
      <c r="AA99" s="2">
        <v>812.65</v>
      </c>
      <c r="AB99" s="17">
        <f t="shared" si="97"/>
        <v>0.53999999999996362</v>
      </c>
      <c r="AC99" s="17"/>
      <c r="AD99" s="24">
        <f t="shared" ref="AD99" si="132">C99+E99+G99+I99+K99+M99+AF99</f>
        <v>0.46999999999999886</v>
      </c>
      <c r="AE99" s="25">
        <v>132.4</v>
      </c>
      <c r="AF99" s="24">
        <f t="shared" si="99"/>
        <v>9.9999999999994316E-2</v>
      </c>
      <c r="AG99" s="2"/>
      <c r="AH99" s="29"/>
    </row>
    <row r="100" spans="1:34" x14ac:dyDescent="0.25">
      <c r="A100" s="5">
        <v>44695</v>
      </c>
      <c r="B100" s="2">
        <v>16.3</v>
      </c>
      <c r="C100" s="18">
        <f t="shared" si="86"/>
        <v>7.0000000000000284E-2</v>
      </c>
      <c r="D100" s="2">
        <v>5.04</v>
      </c>
      <c r="E100" s="107">
        <f t="shared" si="87"/>
        <v>0</v>
      </c>
      <c r="F100" s="2">
        <v>58.29</v>
      </c>
      <c r="G100" s="107">
        <f t="shared" si="88"/>
        <v>8.9999999999996305E-2</v>
      </c>
      <c r="H100" s="2">
        <v>1.74</v>
      </c>
      <c r="I100" s="107">
        <f t="shared" si="89"/>
        <v>0</v>
      </c>
      <c r="J100" s="2">
        <v>62.44</v>
      </c>
      <c r="K100" s="107">
        <f t="shared" si="90"/>
        <v>0.12999999999999545</v>
      </c>
      <c r="L100" s="2">
        <v>42.4</v>
      </c>
      <c r="M100" s="107">
        <f t="shared" si="91"/>
        <v>8.9999999999996305E-2</v>
      </c>
      <c r="N100" s="107">
        <f t="shared" si="92"/>
        <v>0</v>
      </c>
      <c r="O100" s="114">
        <v>68139</v>
      </c>
      <c r="P100" s="17">
        <f t="shared" si="93"/>
        <v>24</v>
      </c>
      <c r="Q100" s="18">
        <f t="shared" ref="Q100" si="133">P100*$C$2</f>
        <v>6.9527999999999999</v>
      </c>
      <c r="R100" s="118">
        <v>1121</v>
      </c>
      <c r="S100" s="17">
        <f t="shared" si="94"/>
        <v>2</v>
      </c>
      <c r="T100" s="17"/>
      <c r="U100" s="30">
        <v>33268</v>
      </c>
      <c r="V100" s="68">
        <f t="shared" si="95"/>
        <v>4</v>
      </c>
      <c r="W100" s="18">
        <f t="shared" ref="W100" si="134">V100*$C$3</f>
        <v>1.2</v>
      </c>
      <c r="X100" s="2">
        <v>11943</v>
      </c>
      <c r="Y100" s="108">
        <f t="shared" si="96"/>
        <v>4</v>
      </c>
      <c r="Z100" s="18">
        <f t="shared" ref="Z100" si="135">Y100*$C$5*$G$4</f>
        <v>3.9136307237813881</v>
      </c>
      <c r="AA100" s="2">
        <v>812.98</v>
      </c>
      <c r="AB100" s="17">
        <f t="shared" si="97"/>
        <v>0.33000000000004093</v>
      </c>
      <c r="AC100" s="17"/>
      <c r="AD100" s="24">
        <f t="shared" ref="AD100" si="136">C100+E100+G100+I100+K100+M100+AF100</f>
        <v>0.37999999999998835</v>
      </c>
      <c r="AE100" s="25">
        <v>132.4</v>
      </c>
      <c r="AF100" s="24">
        <f t="shared" si="99"/>
        <v>0</v>
      </c>
      <c r="AG100" s="2"/>
      <c r="AH100" s="29"/>
    </row>
    <row r="101" spans="1:34" x14ac:dyDescent="0.25">
      <c r="A101" s="5">
        <v>44696</v>
      </c>
      <c r="B101" s="2">
        <v>16.3</v>
      </c>
      <c r="C101" s="18">
        <f t="shared" si="86"/>
        <v>0</v>
      </c>
      <c r="D101" s="2">
        <v>5.04</v>
      </c>
      <c r="E101" s="107">
        <f t="shared" si="87"/>
        <v>0</v>
      </c>
      <c r="F101" s="2">
        <v>58.49</v>
      </c>
      <c r="G101" s="107">
        <f t="shared" si="88"/>
        <v>0.20000000000000284</v>
      </c>
      <c r="H101" s="2">
        <v>1.76</v>
      </c>
      <c r="I101" s="107">
        <f t="shared" si="89"/>
        <v>2.0000000000000018E-2</v>
      </c>
      <c r="J101" s="2">
        <v>62.65</v>
      </c>
      <c r="K101" s="107">
        <f t="shared" si="90"/>
        <v>0.21000000000000085</v>
      </c>
      <c r="L101" s="2">
        <v>42.56</v>
      </c>
      <c r="M101" s="107">
        <f t="shared" si="91"/>
        <v>0.16000000000000369</v>
      </c>
      <c r="N101" s="107">
        <f t="shared" si="92"/>
        <v>3.9999999999999147E-2</v>
      </c>
      <c r="O101" s="114">
        <v>68154</v>
      </c>
      <c r="P101" s="17">
        <f t="shared" si="93"/>
        <v>15</v>
      </c>
      <c r="Q101" s="18">
        <f t="shared" ref="Q101" si="137">P101*$C$2</f>
        <v>4.3455000000000004</v>
      </c>
      <c r="R101" s="114">
        <v>1122</v>
      </c>
      <c r="S101" s="17">
        <f t="shared" si="94"/>
        <v>1</v>
      </c>
      <c r="T101" s="17"/>
      <c r="U101" s="2">
        <v>33270</v>
      </c>
      <c r="V101" s="68">
        <f t="shared" si="95"/>
        <v>2</v>
      </c>
      <c r="W101" s="18">
        <f t="shared" ref="W101" si="138">V101*$C$3</f>
        <v>0.6</v>
      </c>
      <c r="X101" s="2">
        <v>11947</v>
      </c>
      <c r="Y101" s="108">
        <f t="shared" si="96"/>
        <v>4</v>
      </c>
      <c r="Z101" s="18">
        <f t="shared" ref="Z101" si="139">Y101*$C$5*$G$4</f>
        <v>3.9136307237813881</v>
      </c>
      <c r="AA101" s="2">
        <v>813.83</v>
      </c>
      <c r="AB101" s="17">
        <f t="shared" si="97"/>
        <v>0.85000000000002274</v>
      </c>
      <c r="AC101" s="17"/>
      <c r="AD101" s="24">
        <f t="shared" ref="AD101" si="140">C101+E101+G101+I101+K101+M101+AF101</f>
        <v>0.88999999999999035</v>
      </c>
      <c r="AE101" s="25">
        <v>132.69999999999999</v>
      </c>
      <c r="AF101" s="24">
        <f t="shared" si="99"/>
        <v>0.29999999999998295</v>
      </c>
      <c r="AG101" s="2"/>
      <c r="AH101" s="29"/>
    </row>
    <row r="102" spans="1:34" x14ac:dyDescent="0.25">
      <c r="A102" s="5">
        <v>44697</v>
      </c>
      <c r="B102" s="2">
        <v>16.3</v>
      </c>
      <c r="C102" s="18">
        <f t="shared" si="86"/>
        <v>0</v>
      </c>
      <c r="D102" s="2">
        <v>5.04</v>
      </c>
      <c r="E102" s="107">
        <f t="shared" si="87"/>
        <v>0</v>
      </c>
      <c r="F102" s="2">
        <v>58.63</v>
      </c>
      <c r="G102" s="107">
        <f t="shared" si="88"/>
        <v>0.14000000000000057</v>
      </c>
      <c r="H102" s="2">
        <v>1.76</v>
      </c>
      <c r="I102" s="107">
        <f t="shared" si="89"/>
        <v>0</v>
      </c>
      <c r="J102" s="2">
        <v>62.84</v>
      </c>
      <c r="K102" s="107">
        <f t="shared" si="90"/>
        <v>0.19000000000000483</v>
      </c>
      <c r="L102" s="2">
        <v>42.7</v>
      </c>
      <c r="M102" s="107">
        <f t="shared" si="91"/>
        <v>0.14000000000000057</v>
      </c>
      <c r="N102" s="107">
        <f t="shared" ref="N102" si="141">G102-M102</f>
        <v>0</v>
      </c>
      <c r="O102" s="114">
        <v>68171</v>
      </c>
      <c r="P102" s="17">
        <f t="shared" si="93"/>
        <v>17</v>
      </c>
      <c r="Q102" s="18">
        <f t="shared" ref="Q102" si="142">P102*$C$2</f>
        <v>4.9249000000000001</v>
      </c>
      <c r="R102" s="114">
        <v>1124</v>
      </c>
      <c r="S102" s="17">
        <f t="shared" si="94"/>
        <v>2</v>
      </c>
      <c r="T102" s="17"/>
      <c r="U102" s="2">
        <v>33274</v>
      </c>
      <c r="V102" s="68">
        <f t="shared" si="95"/>
        <v>4</v>
      </c>
      <c r="W102" s="18">
        <f t="shared" ref="W102" si="143">V102*$C$3</f>
        <v>1.2</v>
      </c>
      <c r="X102" s="2">
        <v>11950</v>
      </c>
      <c r="Y102" s="108">
        <f t="shared" si="96"/>
        <v>3</v>
      </c>
      <c r="Z102" s="18">
        <f t="shared" ref="Z102" si="144">Y102*$C$5*$G$4</f>
        <v>2.9352230428360411</v>
      </c>
      <c r="AA102" s="2">
        <v>814.56</v>
      </c>
      <c r="AB102" s="17">
        <f t="shared" si="97"/>
        <v>0.7299999999999045</v>
      </c>
      <c r="AC102" s="17"/>
      <c r="AD102" s="24">
        <f t="shared" ref="AD102" si="145">C102+E102+G102+I102+K102+M102+AF102</f>
        <v>0.67000000000002302</v>
      </c>
      <c r="AE102" s="25">
        <v>132.9</v>
      </c>
      <c r="AF102" s="24">
        <f t="shared" si="99"/>
        <v>0.20000000000001705</v>
      </c>
      <c r="AG102" s="2"/>
      <c r="AH102" s="29"/>
    </row>
    <row r="103" spans="1:34" x14ac:dyDescent="0.25">
      <c r="A103" s="5">
        <v>44698</v>
      </c>
      <c r="B103" s="2">
        <v>16.3</v>
      </c>
      <c r="C103" s="18">
        <f t="shared" si="86"/>
        <v>0</v>
      </c>
      <c r="D103" s="2">
        <v>5.04</v>
      </c>
      <c r="E103" s="107">
        <f t="shared" si="87"/>
        <v>0</v>
      </c>
      <c r="F103" s="2">
        <v>58.74</v>
      </c>
      <c r="G103" s="107">
        <f t="shared" si="88"/>
        <v>0.10999999999999943</v>
      </c>
      <c r="H103" s="2">
        <v>1.76</v>
      </c>
      <c r="I103" s="107">
        <f t="shared" si="89"/>
        <v>0</v>
      </c>
      <c r="J103" s="2">
        <v>62.87</v>
      </c>
      <c r="K103" s="107">
        <f t="shared" si="90"/>
        <v>2.9999999999994031E-2</v>
      </c>
      <c r="L103" s="2">
        <v>42.81</v>
      </c>
      <c r="M103" s="107">
        <f t="shared" si="91"/>
        <v>0.10999999999999943</v>
      </c>
      <c r="N103" s="107">
        <f t="shared" ref="N103" si="146">G103-M103</f>
        <v>0</v>
      </c>
      <c r="O103" s="114">
        <v>68183</v>
      </c>
      <c r="P103" s="17">
        <f t="shared" si="93"/>
        <v>12</v>
      </c>
      <c r="Q103" s="18">
        <f t="shared" ref="Q103" si="147">P103*$C$2</f>
        <v>3.4763999999999999</v>
      </c>
      <c r="R103" s="114">
        <v>1126</v>
      </c>
      <c r="S103" s="17">
        <f t="shared" si="94"/>
        <v>2</v>
      </c>
      <c r="T103" s="17"/>
      <c r="U103" s="2">
        <v>33277</v>
      </c>
      <c r="V103" s="68">
        <f t="shared" si="95"/>
        <v>3</v>
      </c>
      <c r="W103" s="18">
        <f t="shared" ref="W103" si="148">V103*$C$3</f>
        <v>0.89999999999999991</v>
      </c>
      <c r="X103" s="2">
        <v>11954</v>
      </c>
      <c r="Y103" s="108">
        <f t="shared" si="96"/>
        <v>4</v>
      </c>
      <c r="Z103" s="18">
        <f t="shared" ref="Z103" si="149">Y103*$C$5*$G$4</f>
        <v>3.9136307237813881</v>
      </c>
      <c r="AA103" s="2">
        <v>815.1</v>
      </c>
      <c r="AB103" s="17">
        <f t="shared" si="97"/>
        <v>0.54000000000007731</v>
      </c>
      <c r="AC103" s="17"/>
      <c r="AD103" s="24">
        <f t="shared" ref="AD103" si="150">C103+E103+G103+I103+K103+M103+AF103</f>
        <v>0.40999999999998948</v>
      </c>
      <c r="AE103" s="25">
        <v>133.06</v>
      </c>
      <c r="AF103" s="24">
        <f t="shared" si="99"/>
        <v>0.15999999999999659</v>
      </c>
      <c r="AG103" s="2"/>
      <c r="AH103" s="29"/>
    </row>
    <row r="104" spans="1:34" x14ac:dyDescent="0.25">
      <c r="A104" s="5">
        <v>44699</v>
      </c>
      <c r="B104" s="2">
        <v>16.37</v>
      </c>
      <c r="C104" s="18">
        <f t="shared" si="86"/>
        <v>7.0000000000000284E-2</v>
      </c>
      <c r="D104" s="2">
        <v>5.04</v>
      </c>
      <c r="E104" s="107">
        <f t="shared" si="87"/>
        <v>0</v>
      </c>
      <c r="F104" s="2">
        <v>58.83</v>
      </c>
      <c r="G104" s="107">
        <f t="shared" si="88"/>
        <v>8.9999999999996305E-2</v>
      </c>
      <c r="H104" s="2">
        <v>1.76</v>
      </c>
      <c r="I104" s="107">
        <f t="shared" si="89"/>
        <v>0</v>
      </c>
      <c r="J104" s="2">
        <v>63.1</v>
      </c>
      <c r="K104" s="107">
        <f t="shared" si="90"/>
        <v>0.23000000000000398</v>
      </c>
      <c r="L104" s="2">
        <v>42.9</v>
      </c>
      <c r="M104" s="107">
        <f t="shared" si="91"/>
        <v>8.9999999999996305E-2</v>
      </c>
      <c r="N104" s="107">
        <f t="shared" ref="N104:N126" si="151">G104-M104</f>
        <v>0</v>
      </c>
      <c r="O104" s="114">
        <v>68195</v>
      </c>
      <c r="P104" s="17">
        <f t="shared" si="93"/>
        <v>12</v>
      </c>
      <c r="Q104" s="18">
        <f t="shared" ref="Q104" si="152">P104*$C$2</f>
        <v>3.4763999999999999</v>
      </c>
      <c r="R104" s="114">
        <v>1127</v>
      </c>
      <c r="S104" s="17">
        <f t="shared" si="94"/>
        <v>1</v>
      </c>
      <c r="T104" s="17"/>
      <c r="U104" s="2">
        <v>33283</v>
      </c>
      <c r="V104" s="68">
        <f t="shared" si="95"/>
        <v>6</v>
      </c>
      <c r="W104" s="18">
        <f t="shared" ref="W104" si="153">V104*$C$3</f>
        <v>1.7999999999999998</v>
      </c>
      <c r="X104" s="2">
        <v>11957</v>
      </c>
      <c r="Y104" s="108">
        <f t="shared" si="96"/>
        <v>3</v>
      </c>
      <c r="Z104" s="18">
        <f t="shared" ref="Z104" si="154">Y104*$C$5*$G$4</f>
        <v>2.9352230428360411</v>
      </c>
      <c r="AA104" s="2">
        <v>815.56</v>
      </c>
      <c r="AB104" s="17">
        <f t="shared" si="97"/>
        <v>0.45999999999992269</v>
      </c>
      <c r="AC104" s="17"/>
      <c r="AD104" s="24">
        <f t="shared" ref="AD104" si="155">C104+E104+G104+I104+K104+M104+AF104</f>
        <v>0.51999999999998892</v>
      </c>
      <c r="AE104" s="25">
        <v>133.1</v>
      </c>
      <c r="AF104" s="24">
        <f t="shared" si="99"/>
        <v>3.9999999999992042E-2</v>
      </c>
      <c r="AG104" s="2"/>
      <c r="AH104" s="29"/>
    </row>
    <row r="105" spans="1:34" x14ac:dyDescent="0.25">
      <c r="A105" s="32">
        <v>44700</v>
      </c>
      <c r="B105" s="2">
        <v>16.420000000000002</v>
      </c>
      <c r="C105" s="18">
        <f t="shared" si="86"/>
        <v>5.0000000000000711E-2</v>
      </c>
      <c r="D105" s="2">
        <v>5.04</v>
      </c>
      <c r="E105" s="107">
        <f t="shared" si="87"/>
        <v>0</v>
      </c>
      <c r="F105" s="2">
        <v>58.93</v>
      </c>
      <c r="G105" s="107">
        <f t="shared" si="88"/>
        <v>0.10000000000000142</v>
      </c>
      <c r="H105" s="2">
        <v>1.76</v>
      </c>
      <c r="I105" s="107">
        <f t="shared" si="89"/>
        <v>0</v>
      </c>
      <c r="J105" s="2">
        <v>63.24</v>
      </c>
      <c r="K105" s="107">
        <f t="shared" si="90"/>
        <v>0.14000000000000057</v>
      </c>
      <c r="L105" s="2">
        <v>43</v>
      </c>
      <c r="M105" s="107">
        <f t="shared" si="91"/>
        <v>0.10000000000000142</v>
      </c>
      <c r="N105" s="107">
        <f t="shared" si="151"/>
        <v>0</v>
      </c>
      <c r="O105" s="118">
        <v>68205</v>
      </c>
      <c r="P105" s="17">
        <f t="shared" si="93"/>
        <v>10</v>
      </c>
      <c r="Q105" s="18">
        <f t="shared" ref="Q105:Q128" si="156">P105*$C$2</f>
        <v>2.8970000000000002</v>
      </c>
      <c r="R105" s="114">
        <v>1129</v>
      </c>
      <c r="S105" s="17">
        <f t="shared" si="94"/>
        <v>2</v>
      </c>
      <c r="T105" s="17"/>
      <c r="U105" s="2">
        <v>33287</v>
      </c>
      <c r="V105" s="68">
        <f t="shared" si="95"/>
        <v>4</v>
      </c>
      <c r="W105" s="18">
        <f t="shared" ref="W105:W128" si="157">V105*$C$3</f>
        <v>1.2</v>
      </c>
      <c r="X105" s="2">
        <v>11959</v>
      </c>
      <c r="Y105" s="108">
        <f t="shared" si="96"/>
        <v>2</v>
      </c>
      <c r="Z105" s="18">
        <f t="shared" ref="Z105:Z128" si="158">Y105*$C$5*$G$4</f>
        <v>1.956815361890694</v>
      </c>
      <c r="AA105" s="2">
        <v>816.79</v>
      </c>
      <c r="AB105" s="17">
        <f t="shared" si="97"/>
        <v>1.2300000000000182</v>
      </c>
      <c r="AC105" s="17"/>
      <c r="AD105" s="24">
        <f t="shared" ref="AD105:AD128" si="159">C105+E105+G105+I105+K105+M105+AF105</f>
        <v>0.57000000000001094</v>
      </c>
      <c r="AE105" s="25">
        <v>133.28</v>
      </c>
      <c r="AF105" s="24">
        <f t="shared" si="99"/>
        <v>0.18000000000000682</v>
      </c>
      <c r="AG105" s="2"/>
      <c r="AH105" s="29"/>
    </row>
    <row r="106" spans="1:34" x14ac:dyDescent="0.25">
      <c r="A106" s="36">
        <v>44701</v>
      </c>
      <c r="B106" s="2" t="s">
        <v>98</v>
      </c>
      <c r="C106" s="18">
        <f>1.1/21</f>
        <v>5.2380952380952382E-2</v>
      </c>
      <c r="D106" s="2" t="s">
        <v>98</v>
      </c>
      <c r="E106" s="107">
        <f>0.57/21</f>
        <v>2.7142857142857142E-2</v>
      </c>
      <c r="F106" s="2" t="s">
        <v>98</v>
      </c>
      <c r="G106" s="107">
        <f>2.24/21</f>
        <v>0.10666666666666667</v>
      </c>
      <c r="H106" s="2" t="s">
        <v>98</v>
      </c>
      <c r="I106" s="18">
        <f>2/21</f>
        <v>9.5238095238095233E-2</v>
      </c>
      <c r="J106" s="2" t="s">
        <v>98</v>
      </c>
      <c r="K106" s="107">
        <f>0.9/21</f>
        <v>4.2857142857142858E-2</v>
      </c>
      <c r="L106" s="2" t="s">
        <v>98</v>
      </c>
      <c r="M106" s="107">
        <f>0.5/21</f>
        <v>2.3809523809523808E-2</v>
      </c>
      <c r="N106" s="18">
        <f t="shared" si="151"/>
        <v>8.2857142857142865E-2</v>
      </c>
      <c r="O106" s="114" t="s">
        <v>98</v>
      </c>
      <c r="P106" s="67">
        <f>133/21</f>
        <v>6.333333333333333</v>
      </c>
      <c r="Q106" s="18">
        <f t="shared" si="156"/>
        <v>1.8347666666666667</v>
      </c>
      <c r="R106" s="114" t="s">
        <v>98</v>
      </c>
      <c r="S106" s="107">
        <f>82/21</f>
        <v>3.9047619047619047</v>
      </c>
      <c r="T106" s="2"/>
      <c r="U106" s="2" t="s">
        <v>98</v>
      </c>
      <c r="V106" s="107">
        <f>107/21</f>
        <v>5.0952380952380949</v>
      </c>
      <c r="W106" s="18">
        <f t="shared" si="157"/>
        <v>1.5285714285714285</v>
      </c>
      <c r="X106" s="2" t="s">
        <v>98</v>
      </c>
      <c r="Y106" s="108">
        <f>56/21</f>
        <v>2.6666666666666665</v>
      </c>
      <c r="Z106" s="18">
        <f t="shared" si="158"/>
        <v>2.6090871491875922</v>
      </c>
      <c r="AA106" s="2" t="s">
        <v>98</v>
      </c>
      <c r="AB106" s="107">
        <f>11.11/21</f>
        <v>0.52904761904761899</v>
      </c>
      <c r="AC106" s="17"/>
      <c r="AD106" s="24">
        <f t="shared" si="159"/>
        <v>0.35761904761904767</v>
      </c>
      <c r="AE106" s="2" t="s">
        <v>98</v>
      </c>
      <c r="AF106" s="107">
        <f>0.2/21</f>
        <v>9.5238095238095247E-3</v>
      </c>
      <c r="AG106" s="2"/>
      <c r="AH106" s="29"/>
    </row>
    <row r="107" spans="1:34" x14ac:dyDescent="0.25">
      <c r="A107" s="32">
        <v>44702</v>
      </c>
      <c r="B107" s="2" t="s">
        <v>98</v>
      </c>
      <c r="C107" s="18">
        <f t="shared" ref="C107:C126" si="160">1.1/21</f>
        <v>5.2380952380952382E-2</v>
      </c>
      <c r="D107" s="2" t="s">
        <v>98</v>
      </c>
      <c r="E107" s="107">
        <f t="shared" ref="E107:E127" si="161">0.57/21</f>
        <v>2.7142857142857142E-2</v>
      </c>
      <c r="F107" s="2" t="s">
        <v>98</v>
      </c>
      <c r="G107" s="107">
        <f t="shared" ref="G107:G127" si="162">2.24/21</f>
        <v>0.10666666666666667</v>
      </c>
      <c r="H107" s="2" t="s">
        <v>98</v>
      </c>
      <c r="I107" s="18">
        <f t="shared" ref="I107:I127" si="163">2/21</f>
        <v>9.5238095238095233E-2</v>
      </c>
      <c r="J107" s="2" t="s">
        <v>98</v>
      </c>
      <c r="K107" s="107">
        <f t="shared" ref="K107:K127" si="164">0.9/21</f>
        <v>4.2857142857142858E-2</v>
      </c>
      <c r="L107" s="2" t="s">
        <v>98</v>
      </c>
      <c r="M107" s="107">
        <f t="shared" ref="M107:M127" si="165">0.5/21</f>
        <v>2.3809523809523808E-2</v>
      </c>
      <c r="N107" s="18">
        <f t="shared" si="151"/>
        <v>8.2857142857142865E-2</v>
      </c>
      <c r="O107" s="114" t="s">
        <v>98</v>
      </c>
      <c r="P107" s="67">
        <f t="shared" ref="P107:P127" si="166">133/21</f>
        <v>6.333333333333333</v>
      </c>
      <c r="Q107" s="18">
        <f t="shared" si="156"/>
        <v>1.8347666666666667</v>
      </c>
      <c r="R107" s="114" t="s">
        <v>98</v>
      </c>
      <c r="S107" s="107">
        <f t="shared" ref="S107:S127" si="167">82/21</f>
        <v>3.9047619047619047</v>
      </c>
      <c r="T107" s="2"/>
      <c r="U107" s="2" t="s">
        <v>98</v>
      </c>
      <c r="V107" s="107">
        <f t="shared" ref="V107:V127" si="168">107/21</f>
        <v>5.0952380952380949</v>
      </c>
      <c r="W107" s="18">
        <f t="shared" si="157"/>
        <v>1.5285714285714285</v>
      </c>
      <c r="X107" s="2" t="s">
        <v>98</v>
      </c>
      <c r="Y107" s="108">
        <f t="shared" ref="Y107:Y127" si="169">56/21</f>
        <v>2.6666666666666665</v>
      </c>
      <c r="Z107" s="18">
        <f t="shared" si="158"/>
        <v>2.6090871491875922</v>
      </c>
      <c r="AA107" s="2" t="s">
        <v>98</v>
      </c>
      <c r="AB107" s="107">
        <f t="shared" ref="AB107:AB127" si="170">11.11/21</f>
        <v>0.52904761904761899</v>
      </c>
      <c r="AC107" s="17"/>
      <c r="AD107" s="24">
        <f t="shared" si="159"/>
        <v>0.35761904761904767</v>
      </c>
      <c r="AE107" s="2" t="s">
        <v>98</v>
      </c>
      <c r="AF107" s="107">
        <f t="shared" ref="AF107:AF127" si="171">0.2/21</f>
        <v>9.5238095238095247E-3</v>
      </c>
      <c r="AG107" s="2"/>
      <c r="AH107" s="29"/>
    </row>
    <row r="108" spans="1:34" x14ac:dyDescent="0.25">
      <c r="A108" s="5">
        <v>44703</v>
      </c>
      <c r="B108" s="2" t="s">
        <v>98</v>
      </c>
      <c r="C108" s="18">
        <f t="shared" si="160"/>
        <v>5.2380952380952382E-2</v>
      </c>
      <c r="D108" s="2" t="s">
        <v>98</v>
      </c>
      <c r="E108" s="107">
        <f t="shared" si="161"/>
        <v>2.7142857142857142E-2</v>
      </c>
      <c r="F108" s="2" t="s">
        <v>98</v>
      </c>
      <c r="G108" s="107">
        <f t="shared" si="162"/>
        <v>0.10666666666666667</v>
      </c>
      <c r="H108" s="2" t="s">
        <v>98</v>
      </c>
      <c r="I108" s="18">
        <f t="shared" si="163"/>
        <v>9.5238095238095233E-2</v>
      </c>
      <c r="J108" s="2" t="s">
        <v>98</v>
      </c>
      <c r="K108" s="107">
        <f t="shared" si="164"/>
        <v>4.2857142857142858E-2</v>
      </c>
      <c r="L108" s="2" t="s">
        <v>98</v>
      </c>
      <c r="M108" s="107">
        <f t="shared" si="165"/>
        <v>2.3809523809523808E-2</v>
      </c>
      <c r="N108" s="18">
        <f t="shared" si="151"/>
        <v>8.2857142857142865E-2</v>
      </c>
      <c r="O108" s="114" t="s">
        <v>98</v>
      </c>
      <c r="P108" s="67">
        <f t="shared" si="166"/>
        <v>6.333333333333333</v>
      </c>
      <c r="Q108" s="18">
        <f t="shared" si="156"/>
        <v>1.8347666666666667</v>
      </c>
      <c r="R108" s="114" t="s">
        <v>98</v>
      </c>
      <c r="S108" s="107">
        <f t="shared" si="167"/>
        <v>3.9047619047619047</v>
      </c>
      <c r="T108" s="2"/>
      <c r="U108" s="2" t="s">
        <v>98</v>
      </c>
      <c r="V108" s="107">
        <f t="shared" si="168"/>
        <v>5.0952380952380949</v>
      </c>
      <c r="W108" s="18">
        <f t="shared" si="157"/>
        <v>1.5285714285714285</v>
      </c>
      <c r="X108" s="2" t="s">
        <v>98</v>
      </c>
      <c r="Y108" s="108">
        <f t="shared" si="169"/>
        <v>2.6666666666666665</v>
      </c>
      <c r="Z108" s="18">
        <f t="shared" si="158"/>
        <v>2.6090871491875922</v>
      </c>
      <c r="AA108" s="2" t="s">
        <v>98</v>
      </c>
      <c r="AB108" s="107">
        <f t="shared" si="170"/>
        <v>0.52904761904761899</v>
      </c>
      <c r="AC108" s="17"/>
      <c r="AD108" s="24">
        <f t="shared" si="159"/>
        <v>0.35761904761904767</v>
      </c>
      <c r="AE108" s="2" t="s">
        <v>98</v>
      </c>
      <c r="AF108" s="107">
        <f t="shared" si="171"/>
        <v>9.5238095238095247E-3</v>
      </c>
      <c r="AG108" s="2"/>
      <c r="AH108" s="29"/>
    </row>
    <row r="109" spans="1:34" x14ac:dyDescent="0.25">
      <c r="A109" s="5">
        <v>44704</v>
      </c>
      <c r="B109" s="2" t="s">
        <v>98</v>
      </c>
      <c r="C109" s="18">
        <f t="shared" si="160"/>
        <v>5.2380952380952382E-2</v>
      </c>
      <c r="D109" s="2" t="s">
        <v>98</v>
      </c>
      <c r="E109" s="107">
        <f t="shared" si="161"/>
        <v>2.7142857142857142E-2</v>
      </c>
      <c r="F109" s="2" t="s">
        <v>98</v>
      </c>
      <c r="G109" s="107">
        <f t="shared" si="162"/>
        <v>0.10666666666666667</v>
      </c>
      <c r="H109" s="2" t="s">
        <v>98</v>
      </c>
      <c r="I109" s="18">
        <f t="shared" si="163"/>
        <v>9.5238095238095233E-2</v>
      </c>
      <c r="J109" s="2" t="s">
        <v>98</v>
      </c>
      <c r="K109" s="107">
        <f t="shared" si="164"/>
        <v>4.2857142857142858E-2</v>
      </c>
      <c r="L109" s="2" t="s">
        <v>98</v>
      </c>
      <c r="M109" s="107">
        <f t="shared" si="165"/>
        <v>2.3809523809523808E-2</v>
      </c>
      <c r="N109" s="18">
        <f t="shared" si="151"/>
        <v>8.2857142857142865E-2</v>
      </c>
      <c r="O109" s="114" t="s">
        <v>98</v>
      </c>
      <c r="P109" s="67">
        <f t="shared" si="166"/>
        <v>6.333333333333333</v>
      </c>
      <c r="Q109" s="18">
        <f t="shared" si="156"/>
        <v>1.8347666666666667</v>
      </c>
      <c r="R109" s="114" t="s">
        <v>98</v>
      </c>
      <c r="S109" s="107">
        <f t="shared" si="167"/>
        <v>3.9047619047619047</v>
      </c>
      <c r="T109" s="2"/>
      <c r="U109" s="2" t="s">
        <v>98</v>
      </c>
      <c r="V109" s="107">
        <f t="shared" si="168"/>
        <v>5.0952380952380949</v>
      </c>
      <c r="W109" s="18">
        <f t="shared" si="157"/>
        <v>1.5285714285714285</v>
      </c>
      <c r="X109" s="2" t="s">
        <v>98</v>
      </c>
      <c r="Y109" s="108">
        <f t="shared" si="169"/>
        <v>2.6666666666666665</v>
      </c>
      <c r="Z109" s="18">
        <f t="shared" si="158"/>
        <v>2.6090871491875922</v>
      </c>
      <c r="AA109" s="2" t="s">
        <v>98</v>
      </c>
      <c r="AB109" s="107">
        <f t="shared" si="170"/>
        <v>0.52904761904761899</v>
      </c>
      <c r="AC109" s="17"/>
      <c r="AD109" s="24">
        <f t="shared" si="159"/>
        <v>0.35761904761904767</v>
      </c>
      <c r="AE109" s="2" t="s">
        <v>98</v>
      </c>
      <c r="AF109" s="107">
        <f t="shared" si="171"/>
        <v>9.5238095238095247E-3</v>
      </c>
      <c r="AG109" s="2"/>
      <c r="AH109" s="29"/>
    </row>
    <row r="110" spans="1:34" x14ac:dyDescent="0.25">
      <c r="A110" s="5">
        <v>44705</v>
      </c>
      <c r="B110" s="2" t="s">
        <v>98</v>
      </c>
      <c r="C110" s="18">
        <f t="shared" si="160"/>
        <v>5.2380952380952382E-2</v>
      </c>
      <c r="D110" s="2" t="s">
        <v>98</v>
      </c>
      <c r="E110" s="107">
        <f t="shared" si="161"/>
        <v>2.7142857142857142E-2</v>
      </c>
      <c r="F110" s="2" t="s">
        <v>98</v>
      </c>
      <c r="G110" s="107">
        <f t="shared" si="162"/>
        <v>0.10666666666666667</v>
      </c>
      <c r="H110" s="2" t="s">
        <v>98</v>
      </c>
      <c r="I110" s="18">
        <f t="shared" si="163"/>
        <v>9.5238095238095233E-2</v>
      </c>
      <c r="J110" s="2" t="s">
        <v>98</v>
      </c>
      <c r="K110" s="107">
        <f t="shared" si="164"/>
        <v>4.2857142857142858E-2</v>
      </c>
      <c r="L110" s="2" t="s">
        <v>98</v>
      </c>
      <c r="M110" s="107">
        <f t="shared" si="165"/>
        <v>2.3809523809523808E-2</v>
      </c>
      <c r="N110" s="18">
        <f t="shared" si="151"/>
        <v>8.2857142857142865E-2</v>
      </c>
      <c r="O110" s="114" t="s">
        <v>98</v>
      </c>
      <c r="P110" s="67">
        <f t="shared" si="166"/>
        <v>6.333333333333333</v>
      </c>
      <c r="Q110" s="18">
        <f t="shared" si="156"/>
        <v>1.8347666666666667</v>
      </c>
      <c r="R110" s="114" t="s">
        <v>98</v>
      </c>
      <c r="S110" s="107">
        <f t="shared" si="167"/>
        <v>3.9047619047619047</v>
      </c>
      <c r="T110" s="2"/>
      <c r="U110" s="2" t="s">
        <v>98</v>
      </c>
      <c r="V110" s="107">
        <f t="shared" si="168"/>
        <v>5.0952380952380949</v>
      </c>
      <c r="W110" s="18">
        <f t="shared" si="157"/>
        <v>1.5285714285714285</v>
      </c>
      <c r="X110" s="2" t="s">
        <v>98</v>
      </c>
      <c r="Y110" s="108">
        <f t="shared" si="169"/>
        <v>2.6666666666666665</v>
      </c>
      <c r="Z110" s="18">
        <f t="shared" si="158"/>
        <v>2.6090871491875922</v>
      </c>
      <c r="AA110" s="2" t="s">
        <v>98</v>
      </c>
      <c r="AB110" s="107">
        <f t="shared" si="170"/>
        <v>0.52904761904761899</v>
      </c>
      <c r="AC110" s="17"/>
      <c r="AD110" s="24">
        <f t="shared" si="159"/>
        <v>0.35761904761904767</v>
      </c>
      <c r="AE110" s="2" t="s">
        <v>98</v>
      </c>
      <c r="AF110" s="107">
        <f t="shared" si="171"/>
        <v>9.5238095238095247E-3</v>
      </c>
      <c r="AG110" s="2"/>
      <c r="AH110" s="29"/>
    </row>
    <row r="111" spans="1:34" x14ac:dyDescent="0.25">
      <c r="A111" s="5">
        <v>44706</v>
      </c>
      <c r="B111" s="2" t="s">
        <v>98</v>
      </c>
      <c r="C111" s="18">
        <f t="shared" si="160"/>
        <v>5.2380952380952382E-2</v>
      </c>
      <c r="D111" s="2" t="s">
        <v>98</v>
      </c>
      <c r="E111" s="107">
        <f t="shared" si="161"/>
        <v>2.7142857142857142E-2</v>
      </c>
      <c r="F111" s="2" t="s">
        <v>98</v>
      </c>
      <c r="G111" s="107">
        <f t="shared" si="162"/>
        <v>0.10666666666666667</v>
      </c>
      <c r="H111" s="2" t="s">
        <v>98</v>
      </c>
      <c r="I111" s="18">
        <f t="shared" si="163"/>
        <v>9.5238095238095233E-2</v>
      </c>
      <c r="J111" s="2" t="s">
        <v>98</v>
      </c>
      <c r="K111" s="107">
        <f t="shared" si="164"/>
        <v>4.2857142857142858E-2</v>
      </c>
      <c r="L111" s="2" t="s">
        <v>98</v>
      </c>
      <c r="M111" s="107">
        <f t="shared" si="165"/>
        <v>2.3809523809523808E-2</v>
      </c>
      <c r="N111" s="18">
        <f t="shared" si="151"/>
        <v>8.2857142857142865E-2</v>
      </c>
      <c r="O111" s="114" t="s">
        <v>98</v>
      </c>
      <c r="P111" s="67">
        <f t="shared" si="166"/>
        <v>6.333333333333333</v>
      </c>
      <c r="Q111" s="18">
        <f t="shared" si="156"/>
        <v>1.8347666666666667</v>
      </c>
      <c r="R111" s="114" t="s">
        <v>98</v>
      </c>
      <c r="S111" s="107">
        <f t="shared" si="167"/>
        <v>3.9047619047619047</v>
      </c>
      <c r="T111" s="2"/>
      <c r="U111" s="2" t="s">
        <v>98</v>
      </c>
      <c r="V111" s="107">
        <f t="shared" si="168"/>
        <v>5.0952380952380949</v>
      </c>
      <c r="W111" s="18">
        <f t="shared" si="157"/>
        <v>1.5285714285714285</v>
      </c>
      <c r="X111" s="2" t="s">
        <v>98</v>
      </c>
      <c r="Y111" s="108">
        <f t="shared" si="169"/>
        <v>2.6666666666666665</v>
      </c>
      <c r="Z111" s="18">
        <f t="shared" si="158"/>
        <v>2.6090871491875922</v>
      </c>
      <c r="AA111" s="2" t="s">
        <v>98</v>
      </c>
      <c r="AB111" s="107">
        <f t="shared" si="170"/>
        <v>0.52904761904761899</v>
      </c>
      <c r="AC111" s="17"/>
      <c r="AD111" s="24">
        <f t="shared" si="159"/>
        <v>0.35761904761904767</v>
      </c>
      <c r="AE111" s="2" t="s">
        <v>98</v>
      </c>
      <c r="AF111" s="107">
        <f t="shared" si="171"/>
        <v>9.5238095238095247E-3</v>
      </c>
      <c r="AG111" s="2"/>
      <c r="AH111" s="29"/>
    </row>
    <row r="112" spans="1:34" x14ac:dyDescent="0.25">
      <c r="A112" s="5">
        <v>44707</v>
      </c>
      <c r="B112" s="2" t="s">
        <v>98</v>
      </c>
      <c r="C112" s="18">
        <f t="shared" si="160"/>
        <v>5.2380952380952382E-2</v>
      </c>
      <c r="D112" s="2" t="s">
        <v>98</v>
      </c>
      <c r="E112" s="107">
        <f t="shared" si="161"/>
        <v>2.7142857142857142E-2</v>
      </c>
      <c r="F112" s="2" t="s">
        <v>98</v>
      </c>
      <c r="G112" s="107">
        <f t="shared" si="162"/>
        <v>0.10666666666666667</v>
      </c>
      <c r="H112" s="2" t="s">
        <v>98</v>
      </c>
      <c r="I112" s="18">
        <f t="shared" si="163"/>
        <v>9.5238095238095233E-2</v>
      </c>
      <c r="J112" s="2" t="s">
        <v>98</v>
      </c>
      <c r="K112" s="107">
        <f t="shared" si="164"/>
        <v>4.2857142857142858E-2</v>
      </c>
      <c r="L112" s="2" t="s">
        <v>98</v>
      </c>
      <c r="M112" s="107">
        <f t="shared" si="165"/>
        <v>2.3809523809523808E-2</v>
      </c>
      <c r="N112" s="18">
        <f t="shared" si="151"/>
        <v>8.2857142857142865E-2</v>
      </c>
      <c r="O112" s="114" t="s">
        <v>98</v>
      </c>
      <c r="P112" s="67">
        <f t="shared" si="166"/>
        <v>6.333333333333333</v>
      </c>
      <c r="Q112" s="18">
        <f t="shared" si="156"/>
        <v>1.8347666666666667</v>
      </c>
      <c r="R112" s="114" t="s">
        <v>98</v>
      </c>
      <c r="S112" s="107">
        <f t="shared" si="167"/>
        <v>3.9047619047619047</v>
      </c>
      <c r="T112" s="2"/>
      <c r="U112" s="2" t="s">
        <v>98</v>
      </c>
      <c r="V112" s="107">
        <f t="shared" si="168"/>
        <v>5.0952380952380949</v>
      </c>
      <c r="W112" s="18">
        <f t="shared" si="157"/>
        <v>1.5285714285714285</v>
      </c>
      <c r="X112" s="2" t="s">
        <v>98</v>
      </c>
      <c r="Y112" s="108">
        <f t="shared" si="169"/>
        <v>2.6666666666666665</v>
      </c>
      <c r="Z112" s="18">
        <f t="shared" si="158"/>
        <v>2.6090871491875922</v>
      </c>
      <c r="AA112" s="2" t="s">
        <v>98</v>
      </c>
      <c r="AB112" s="107">
        <f t="shared" si="170"/>
        <v>0.52904761904761899</v>
      </c>
      <c r="AC112" s="17"/>
      <c r="AD112" s="24">
        <f t="shared" si="159"/>
        <v>0.35761904761904767</v>
      </c>
      <c r="AE112" s="2" t="s">
        <v>98</v>
      </c>
      <c r="AF112" s="107">
        <f t="shared" si="171"/>
        <v>9.5238095238095247E-3</v>
      </c>
      <c r="AG112" s="2"/>
      <c r="AH112" s="29"/>
    </row>
    <row r="113" spans="1:34" x14ac:dyDescent="0.25">
      <c r="A113" s="5">
        <v>44708</v>
      </c>
      <c r="B113" s="2" t="s">
        <v>98</v>
      </c>
      <c r="C113" s="18">
        <f t="shared" si="160"/>
        <v>5.2380952380952382E-2</v>
      </c>
      <c r="D113" s="2" t="s">
        <v>98</v>
      </c>
      <c r="E113" s="107">
        <f t="shared" si="161"/>
        <v>2.7142857142857142E-2</v>
      </c>
      <c r="F113" s="2" t="s">
        <v>98</v>
      </c>
      <c r="G113" s="107">
        <f t="shared" si="162"/>
        <v>0.10666666666666667</v>
      </c>
      <c r="H113" s="2" t="s">
        <v>98</v>
      </c>
      <c r="I113" s="18">
        <f t="shared" si="163"/>
        <v>9.5238095238095233E-2</v>
      </c>
      <c r="J113" s="2" t="s">
        <v>98</v>
      </c>
      <c r="K113" s="107">
        <f t="shared" si="164"/>
        <v>4.2857142857142858E-2</v>
      </c>
      <c r="L113" s="2" t="s">
        <v>98</v>
      </c>
      <c r="M113" s="107">
        <f t="shared" si="165"/>
        <v>2.3809523809523808E-2</v>
      </c>
      <c r="N113" s="18">
        <f t="shared" si="151"/>
        <v>8.2857142857142865E-2</v>
      </c>
      <c r="O113" s="114" t="s">
        <v>98</v>
      </c>
      <c r="P113" s="67">
        <f t="shared" si="166"/>
        <v>6.333333333333333</v>
      </c>
      <c r="Q113" s="18">
        <f t="shared" si="156"/>
        <v>1.8347666666666667</v>
      </c>
      <c r="R113" s="114" t="s">
        <v>98</v>
      </c>
      <c r="S113" s="107">
        <f t="shared" si="167"/>
        <v>3.9047619047619047</v>
      </c>
      <c r="T113" s="2"/>
      <c r="U113" s="2" t="s">
        <v>98</v>
      </c>
      <c r="V113" s="107">
        <f t="shared" si="168"/>
        <v>5.0952380952380949</v>
      </c>
      <c r="W113" s="18">
        <f t="shared" si="157"/>
        <v>1.5285714285714285</v>
      </c>
      <c r="X113" s="2" t="s">
        <v>98</v>
      </c>
      <c r="Y113" s="108">
        <f t="shared" si="169"/>
        <v>2.6666666666666665</v>
      </c>
      <c r="Z113" s="18">
        <f t="shared" si="158"/>
        <v>2.6090871491875922</v>
      </c>
      <c r="AA113" s="2" t="s">
        <v>98</v>
      </c>
      <c r="AB113" s="107">
        <f t="shared" si="170"/>
        <v>0.52904761904761899</v>
      </c>
      <c r="AC113" s="17"/>
      <c r="AD113" s="24">
        <f t="shared" si="159"/>
        <v>0.35761904761904767</v>
      </c>
      <c r="AE113" s="2" t="s">
        <v>98</v>
      </c>
      <c r="AF113" s="107">
        <f t="shared" si="171"/>
        <v>9.5238095238095247E-3</v>
      </c>
      <c r="AG113" s="2"/>
      <c r="AH113" s="29"/>
    </row>
    <row r="114" spans="1:34" x14ac:dyDescent="0.25">
      <c r="A114" s="5">
        <v>44709</v>
      </c>
      <c r="B114" s="2" t="s">
        <v>98</v>
      </c>
      <c r="C114" s="18">
        <f t="shared" si="160"/>
        <v>5.2380952380952382E-2</v>
      </c>
      <c r="D114" s="2" t="s">
        <v>98</v>
      </c>
      <c r="E114" s="107">
        <f t="shared" si="161"/>
        <v>2.7142857142857142E-2</v>
      </c>
      <c r="F114" s="2" t="s">
        <v>98</v>
      </c>
      <c r="G114" s="107">
        <f t="shared" si="162"/>
        <v>0.10666666666666667</v>
      </c>
      <c r="H114" s="2" t="s">
        <v>98</v>
      </c>
      <c r="I114" s="18">
        <f t="shared" si="163"/>
        <v>9.5238095238095233E-2</v>
      </c>
      <c r="J114" s="2" t="s">
        <v>98</v>
      </c>
      <c r="K114" s="107">
        <f t="shared" si="164"/>
        <v>4.2857142857142858E-2</v>
      </c>
      <c r="L114" s="2" t="s">
        <v>98</v>
      </c>
      <c r="M114" s="107">
        <f t="shared" si="165"/>
        <v>2.3809523809523808E-2</v>
      </c>
      <c r="N114" s="18">
        <f t="shared" si="151"/>
        <v>8.2857142857142865E-2</v>
      </c>
      <c r="O114" s="114" t="s">
        <v>98</v>
      </c>
      <c r="P114" s="67">
        <f t="shared" si="166"/>
        <v>6.333333333333333</v>
      </c>
      <c r="Q114" s="18">
        <f t="shared" si="156"/>
        <v>1.8347666666666667</v>
      </c>
      <c r="R114" s="114" t="s">
        <v>98</v>
      </c>
      <c r="S114" s="107">
        <f t="shared" si="167"/>
        <v>3.9047619047619047</v>
      </c>
      <c r="T114" s="2"/>
      <c r="U114" s="2" t="s">
        <v>98</v>
      </c>
      <c r="V114" s="107">
        <f t="shared" si="168"/>
        <v>5.0952380952380949</v>
      </c>
      <c r="W114" s="18">
        <f t="shared" si="157"/>
        <v>1.5285714285714285</v>
      </c>
      <c r="X114" s="2" t="s">
        <v>98</v>
      </c>
      <c r="Y114" s="108">
        <f t="shared" si="169"/>
        <v>2.6666666666666665</v>
      </c>
      <c r="Z114" s="18">
        <f t="shared" si="158"/>
        <v>2.6090871491875922</v>
      </c>
      <c r="AA114" s="2" t="s">
        <v>98</v>
      </c>
      <c r="AB114" s="107">
        <f t="shared" si="170"/>
        <v>0.52904761904761899</v>
      </c>
      <c r="AC114" s="17"/>
      <c r="AD114" s="24">
        <f t="shared" si="159"/>
        <v>0.35761904761904767</v>
      </c>
      <c r="AE114" s="2" t="s">
        <v>98</v>
      </c>
      <c r="AF114" s="107">
        <f t="shared" si="171"/>
        <v>9.5238095238095247E-3</v>
      </c>
      <c r="AG114" s="2"/>
      <c r="AH114" s="29"/>
    </row>
    <row r="115" spans="1:34" x14ac:dyDescent="0.25">
      <c r="A115" s="5">
        <v>44710</v>
      </c>
      <c r="B115" s="2" t="s">
        <v>98</v>
      </c>
      <c r="C115" s="18">
        <f t="shared" si="160"/>
        <v>5.2380952380952382E-2</v>
      </c>
      <c r="D115" s="2" t="s">
        <v>98</v>
      </c>
      <c r="E115" s="107">
        <f t="shared" si="161"/>
        <v>2.7142857142857142E-2</v>
      </c>
      <c r="F115" s="2" t="s">
        <v>98</v>
      </c>
      <c r="G115" s="107">
        <f t="shared" si="162"/>
        <v>0.10666666666666667</v>
      </c>
      <c r="H115" s="2" t="s">
        <v>98</v>
      </c>
      <c r="I115" s="18">
        <f t="shared" si="163"/>
        <v>9.5238095238095233E-2</v>
      </c>
      <c r="J115" s="2" t="s">
        <v>98</v>
      </c>
      <c r="K115" s="107">
        <f t="shared" si="164"/>
        <v>4.2857142857142858E-2</v>
      </c>
      <c r="L115" s="2" t="s">
        <v>98</v>
      </c>
      <c r="M115" s="107">
        <f t="shared" si="165"/>
        <v>2.3809523809523808E-2</v>
      </c>
      <c r="N115" s="18">
        <f t="shared" si="151"/>
        <v>8.2857142857142865E-2</v>
      </c>
      <c r="O115" s="114" t="s">
        <v>98</v>
      </c>
      <c r="P115" s="67">
        <f t="shared" si="166"/>
        <v>6.333333333333333</v>
      </c>
      <c r="Q115" s="18">
        <f t="shared" si="156"/>
        <v>1.8347666666666667</v>
      </c>
      <c r="R115" s="114" t="s">
        <v>98</v>
      </c>
      <c r="S115" s="107">
        <f t="shared" si="167"/>
        <v>3.9047619047619047</v>
      </c>
      <c r="T115" s="2"/>
      <c r="U115" s="2" t="s">
        <v>98</v>
      </c>
      <c r="V115" s="107">
        <f t="shared" si="168"/>
        <v>5.0952380952380949</v>
      </c>
      <c r="W115" s="18">
        <f t="shared" si="157"/>
        <v>1.5285714285714285</v>
      </c>
      <c r="X115" s="2" t="s">
        <v>98</v>
      </c>
      <c r="Y115" s="108">
        <f t="shared" si="169"/>
        <v>2.6666666666666665</v>
      </c>
      <c r="Z115" s="18">
        <f t="shared" si="158"/>
        <v>2.6090871491875922</v>
      </c>
      <c r="AA115" s="2" t="s">
        <v>98</v>
      </c>
      <c r="AB115" s="107">
        <f t="shared" si="170"/>
        <v>0.52904761904761899</v>
      </c>
      <c r="AC115" s="17"/>
      <c r="AD115" s="24">
        <f t="shared" si="159"/>
        <v>0.35761904761904767</v>
      </c>
      <c r="AE115" s="2" t="s">
        <v>98</v>
      </c>
      <c r="AF115" s="107">
        <f t="shared" si="171"/>
        <v>9.5238095238095247E-3</v>
      </c>
      <c r="AG115" s="2"/>
      <c r="AH115" s="29"/>
    </row>
    <row r="116" spans="1:34" x14ac:dyDescent="0.25">
      <c r="A116" s="5">
        <v>44711</v>
      </c>
      <c r="B116" s="2" t="s">
        <v>98</v>
      </c>
      <c r="C116" s="18">
        <f t="shared" si="160"/>
        <v>5.2380952380952382E-2</v>
      </c>
      <c r="D116" s="2" t="s">
        <v>98</v>
      </c>
      <c r="E116" s="107">
        <f t="shared" si="161"/>
        <v>2.7142857142857142E-2</v>
      </c>
      <c r="F116" s="2" t="s">
        <v>98</v>
      </c>
      <c r="G116" s="107">
        <f t="shared" si="162"/>
        <v>0.10666666666666667</v>
      </c>
      <c r="H116" s="2" t="s">
        <v>98</v>
      </c>
      <c r="I116" s="18">
        <f t="shared" si="163"/>
        <v>9.5238095238095233E-2</v>
      </c>
      <c r="J116" s="2" t="s">
        <v>98</v>
      </c>
      <c r="K116" s="107">
        <f t="shared" si="164"/>
        <v>4.2857142857142858E-2</v>
      </c>
      <c r="L116" s="2" t="s">
        <v>98</v>
      </c>
      <c r="M116" s="107">
        <f t="shared" si="165"/>
        <v>2.3809523809523808E-2</v>
      </c>
      <c r="N116" s="18">
        <f t="shared" si="151"/>
        <v>8.2857142857142865E-2</v>
      </c>
      <c r="O116" s="114" t="s">
        <v>98</v>
      </c>
      <c r="P116" s="67">
        <f t="shared" si="166"/>
        <v>6.333333333333333</v>
      </c>
      <c r="Q116" s="18">
        <f t="shared" si="156"/>
        <v>1.8347666666666667</v>
      </c>
      <c r="R116" s="114" t="s">
        <v>98</v>
      </c>
      <c r="S116" s="107">
        <f t="shared" si="167"/>
        <v>3.9047619047619047</v>
      </c>
      <c r="T116" s="2"/>
      <c r="U116" s="2" t="s">
        <v>98</v>
      </c>
      <c r="V116" s="107">
        <f t="shared" si="168"/>
        <v>5.0952380952380949</v>
      </c>
      <c r="W116" s="18">
        <f t="shared" si="157"/>
        <v>1.5285714285714285</v>
      </c>
      <c r="X116" s="2" t="s">
        <v>98</v>
      </c>
      <c r="Y116" s="108">
        <f t="shared" si="169"/>
        <v>2.6666666666666665</v>
      </c>
      <c r="Z116" s="18">
        <f t="shared" si="158"/>
        <v>2.6090871491875922</v>
      </c>
      <c r="AA116" s="2" t="s">
        <v>98</v>
      </c>
      <c r="AB116" s="107">
        <f t="shared" si="170"/>
        <v>0.52904761904761899</v>
      </c>
      <c r="AC116" s="17"/>
      <c r="AD116" s="24">
        <f t="shared" si="159"/>
        <v>0.35761904761904767</v>
      </c>
      <c r="AE116" s="2" t="s">
        <v>98</v>
      </c>
      <c r="AF116" s="107">
        <f t="shared" si="171"/>
        <v>9.5238095238095247E-3</v>
      </c>
      <c r="AG116" s="2"/>
      <c r="AH116" s="29"/>
    </row>
    <row r="117" spans="1:34" x14ac:dyDescent="0.25">
      <c r="A117" s="5">
        <v>44712</v>
      </c>
      <c r="B117" s="2" t="s">
        <v>98</v>
      </c>
      <c r="C117" s="18">
        <f t="shared" si="160"/>
        <v>5.2380952380952382E-2</v>
      </c>
      <c r="D117" s="2" t="s">
        <v>98</v>
      </c>
      <c r="E117" s="107">
        <f t="shared" si="161"/>
        <v>2.7142857142857142E-2</v>
      </c>
      <c r="F117" s="2" t="s">
        <v>98</v>
      </c>
      <c r="G117" s="107">
        <f t="shared" si="162"/>
        <v>0.10666666666666667</v>
      </c>
      <c r="H117" s="2" t="s">
        <v>98</v>
      </c>
      <c r="I117" s="18">
        <f t="shared" si="163"/>
        <v>9.5238095238095233E-2</v>
      </c>
      <c r="J117" s="2" t="s">
        <v>98</v>
      </c>
      <c r="K117" s="107">
        <f t="shared" si="164"/>
        <v>4.2857142857142858E-2</v>
      </c>
      <c r="L117" s="2" t="s">
        <v>98</v>
      </c>
      <c r="M117" s="107">
        <f t="shared" si="165"/>
        <v>2.3809523809523808E-2</v>
      </c>
      <c r="N117" s="18">
        <f t="shared" si="151"/>
        <v>8.2857142857142865E-2</v>
      </c>
      <c r="O117" s="114" t="s">
        <v>98</v>
      </c>
      <c r="P117" s="67">
        <f t="shared" si="166"/>
        <v>6.333333333333333</v>
      </c>
      <c r="Q117" s="18">
        <f t="shared" si="156"/>
        <v>1.8347666666666667</v>
      </c>
      <c r="R117" s="114" t="s">
        <v>98</v>
      </c>
      <c r="S117" s="107">
        <f t="shared" si="167"/>
        <v>3.9047619047619047</v>
      </c>
      <c r="T117" s="2"/>
      <c r="U117" s="2" t="s">
        <v>98</v>
      </c>
      <c r="V117" s="107">
        <f t="shared" si="168"/>
        <v>5.0952380952380949</v>
      </c>
      <c r="W117" s="18">
        <f t="shared" si="157"/>
        <v>1.5285714285714285</v>
      </c>
      <c r="X117" s="2" t="s">
        <v>98</v>
      </c>
      <c r="Y117" s="108">
        <f t="shared" si="169"/>
        <v>2.6666666666666665</v>
      </c>
      <c r="Z117" s="18">
        <f t="shared" si="158"/>
        <v>2.6090871491875922</v>
      </c>
      <c r="AA117" s="2" t="s">
        <v>98</v>
      </c>
      <c r="AB117" s="107">
        <f t="shared" si="170"/>
        <v>0.52904761904761899</v>
      </c>
      <c r="AC117" s="17"/>
      <c r="AD117" s="24">
        <f t="shared" si="159"/>
        <v>0.35761904761904767</v>
      </c>
      <c r="AE117" s="2" t="s">
        <v>98</v>
      </c>
      <c r="AF117" s="107">
        <f t="shared" si="171"/>
        <v>9.5238095238095247E-3</v>
      </c>
      <c r="AG117" s="2"/>
      <c r="AH117" s="29"/>
    </row>
    <row r="118" spans="1:34" s="60" customFormat="1" x14ac:dyDescent="0.25">
      <c r="A118" s="32" t="s">
        <v>102</v>
      </c>
      <c r="B118" s="66"/>
      <c r="C118" s="34">
        <f>SUM(C88:C117)</f>
        <v>1.4385714285714313</v>
      </c>
      <c r="D118" s="61"/>
      <c r="E118" s="66">
        <f t="shared" ref="E118:K118" si="172">SUM(E88:E117)</f>
        <v>0.61571428571428566</v>
      </c>
      <c r="F118" s="61"/>
      <c r="G118" s="66">
        <f t="shared" si="172"/>
        <v>4.2499999999999964</v>
      </c>
      <c r="H118" s="61"/>
      <c r="I118" s="34">
        <f t="shared" si="172"/>
        <v>1.2628571428571429</v>
      </c>
      <c r="J118" s="61"/>
      <c r="K118" s="66">
        <f t="shared" si="172"/>
        <v>3.634285714285717</v>
      </c>
      <c r="L118" s="61"/>
      <c r="M118" s="66">
        <f>SUM(M88:M117)</f>
        <v>2.5757142857142838</v>
      </c>
      <c r="N118" s="34">
        <f>SUM(N88:N117)</f>
        <v>1.6742857142857148</v>
      </c>
      <c r="O118" s="116"/>
      <c r="P118" s="33">
        <f>SUM(P88:P117)</f>
        <v>357.99999999999977</v>
      </c>
      <c r="Q118" s="109">
        <f>SUM(Q88:Q117)</f>
        <v>103.71259999999999</v>
      </c>
      <c r="R118" s="116" t="s">
        <v>63</v>
      </c>
      <c r="S118" s="34">
        <f>SUM(S88:S117)</f>
        <v>98.857142857142804</v>
      </c>
      <c r="T118" s="34"/>
      <c r="U118" s="34"/>
      <c r="V118" s="34">
        <f>SUM(V88:V117)</f>
        <v>150.14285714285722</v>
      </c>
      <c r="W118" s="109">
        <f>SUM(W88:W117)</f>
        <v>45.042857142857116</v>
      </c>
      <c r="X118" s="34"/>
      <c r="Y118" s="129">
        <f>SUM(Y88:Y117)</f>
        <v>134.00000000000003</v>
      </c>
      <c r="Z118" s="109">
        <f>SUM(Z88:Z117)</f>
        <v>131.10662924667645</v>
      </c>
      <c r="AA118" s="34"/>
      <c r="AB118" s="61">
        <f>SUM(AB88:AB117)</f>
        <v>21.858571428571437</v>
      </c>
      <c r="AC118" s="34"/>
      <c r="AD118" s="34"/>
      <c r="AE118" s="61"/>
      <c r="AF118" s="34"/>
      <c r="AG118" s="34"/>
      <c r="AH118" s="57"/>
    </row>
    <row r="119" spans="1:34" x14ac:dyDescent="0.25">
      <c r="A119" s="5">
        <v>44713</v>
      </c>
      <c r="B119" s="2" t="s">
        <v>98</v>
      </c>
      <c r="C119" s="18">
        <f t="shared" si="160"/>
        <v>5.2380952380952382E-2</v>
      </c>
      <c r="D119" s="2" t="s">
        <v>98</v>
      </c>
      <c r="E119" s="107">
        <f t="shared" si="161"/>
        <v>2.7142857142857142E-2</v>
      </c>
      <c r="F119" s="2" t="s">
        <v>98</v>
      </c>
      <c r="G119" s="107">
        <f t="shared" si="162"/>
        <v>0.10666666666666667</v>
      </c>
      <c r="H119" s="2" t="s">
        <v>98</v>
      </c>
      <c r="I119" s="18">
        <f t="shared" si="163"/>
        <v>9.5238095238095233E-2</v>
      </c>
      <c r="J119" s="2" t="s">
        <v>98</v>
      </c>
      <c r="K119" s="67">
        <f t="shared" si="164"/>
        <v>4.2857142857142858E-2</v>
      </c>
      <c r="L119" s="2" t="s">
        <v>98</v>
      </c>
      <c r="M119" s="107">
        <f t="shared" si="165"/>
        <v>2.3809523809523808E-2</v>
      </c>
      <c r="N119" s="18">
        <f t="shared" si="151"/>
        <v>8.2857142857142865E-2</v>
      </c>
      <c r="O119" s="114" t="s">
        <v>98</v>
      </c>
      <c r="P119" s="107">
        <f t="shared" si="166"/>
        <v>6.333333333333333</v>
      </c>
      <c r="Q119" s="18">
        <f t="shared" si="156"/>
        <v>1.8347666666666667</v>
      </c>
      <c r="R119" s="114" t="s">
        <v>98</v>
      </c>
      <c r="S119" s="107">
        <f t="shared" si="167"/>
        <v>3.9047619047619047</v>
      </c>
      <c r="T119" s="17"/>
      <c r="U119" s="2" t="s">
        <v>98</v>
      </c>
      <c r="V119" s="107">
        <f t="shared" si="168"/>
        <v>5.0952380952380949</v>
      </c>
      <c r="W119" s="18">
        <f t="shared" si="157"/>
        <v>1.5285714285714285</v>
      </c>
      <c r="X119" s="2" t="s">
        <v>98</v>
      </c>
      <c r="Y119" s="108">
        <f t="shared" si="169"/>
        <v>2.6666666666666665</v>
      </c>
      <c r="Z119" s="18">
        <f t="shared" si="158"/>
        <v>2.6090871491875922</v>
      </c>
      <c r="AA119" s="2" t="s">
        <v>98</v>
      </c>
      <c r="AB119" s="107">
        <f t="shared" si="170"/>
        <v>0.52904761904761899</v>
      </c>
      <c r="AC119" s="17"/>
      <c r="AD119" s="24">
        <f t="shared" si="159"/>
        <v>0.35761904761904767</v>
      </c>
      <c r="AE119" s="2" t="s">
        <v>98</v>
      </c>
      <c r="AF119" s="107">
        <f t="shared" si="171"/>
        <v>9.5238095238095247E-3</v>
      </c>
      <c r="AG119" s="2"/>
      <c r="AH119" s="29"/>
    </row>
    <row r="120" spans="1:34" x14ac:dyDescent="0.25">
      <c r="A120" s="5">
        <v>44714</v>
      </c>
      <c r="B120" s="2" t="s">
        <v>98</v>
      </c>
      <c r="C120" s="18">
        <f t="shared" si="160"/>
        <v>5.2380952380952382E-2</v>
      </c>
      <c r="D120" s="2" t="s">
        <v>98</v>
      </c>
      <c r="E120" s="107">
        <f t="shared" si="161"/>
        <v>2.7142857142857142E-2</v>
      </c>
      <c r="F120" s="2" t="s">
        <v>98</v>
      </c>
      <c r="G120" s="107">
        <f t="shared" si="162"/>
        <v>0.10666666666666667</v>
      </c>
      <c r="H120" s="2" t="s">
        <v>98</v>
      </c>
      <c r="I120" s="18">
        <f t="shared" si="163"/>
        <v>9.5238095238095233E-2</v>
      </c>
      <c r="J120" s="2" t="s">
        <v>98</v>
      </c>
      <c r="K120" s="67">
        <f t="shared" si="164"/>
        <v>4.2857142857142858E-2</v>
      </c>
      <c r="L120" s="2" t="s">
        <v>98</v>
      </c>
      <c r="M120" s="107">
        <f t="shared" si="165"/>
        <v>2.3809523809523808E-2</v>
      </c>
      <c r="N120" s="18">
        <f t="shared" si="151"/>
        <v>8.2857142857142865E-2</v>
      </c>
      <c r="O120" s="114" t="s">
        <v>98</v>
      </c>
      <c r="P120" s="107">
        <f t="shared" si="166"/>
        <v>6.333333333333333</v>
      </c>
      <c r="Q120" s="18">
        <f t="shared" si="156"/>
        <v>1.8347666666666667</v>
      </c>
      <c r="R120" s="114" t="s">
        <v>98</v>
      </c>
      <c r="S120" s="107">
        <f t="shared" si="167"/>
        <v>3.9047619047619047</v>
      </c>
      <c r="T120" s="17"/>
      <c r="U120" s="2" t="s">
        <v>98</v>
      </c>
      <c r="V120" s="107">
        <f t="shared" si="168"/>
        <v>5.0952380952380949</v>
      </c>
      <c r="W120" s="18">
        <f t="shared" si="157"/>
        <v>1.5285714285714285</v>
      </c>
      <c r="X120" s="2" t="s">
        <v>98</v>
      </c>
      <c r="Y120" s="108">
        <f t="shared" si="169"/>
        <v>2.6666666666666665</v>
      </c>
      <c r="Z120" s="18">
        <f t="shared" si="158"/>
        <v>2.6090871491875922</v>
      </c>
      <c r="AA120" s="2" t="s">
        <v>98</v>
      </c>
      <c r="AB120" s="107">
        <f t="shared" si="170"/>
        <v>0.52904761904761899</v>
      </c>
      <c r="AC120" s="17"/>
      <c r="AD120" s="24">
        <f t="shared" si="159"/>
        <v>0.35761904761904767</v>
      </c>
      <c r="AE120" s="2" t="s">
        <v>98</v>
      </c>
      <c r="AF120" s="107">
        <f t="shared" si="171"/>
        <v>9.5238095238095247E-3</v>
      </c>
      <c r="AG120" s="2"/>
      <c r="AH120" s="29"/>
    </row>
    <row r="121" spans="1:34" x14ac:dyDescent="0.25">
      <c r="A121" s="5">
        <v>44715</v>
      </c>
      <c r="B121" s="2" t="s">
        <v>98</v>
      </c>
      <c r="C121" s="18">
        <f t="shared" si="160"/>
        <v>5.2380952380952382E-2</v>
      </c>
      <c r="D121" s="2" t="s">
        <v>98</v>
      </c>
      <c r="E121" s="107">
        <f t="shared" si="161"/>
        <v>2.7142857142857142E-2</v>
      </c>
      <c r="F121" s="2" t="s">
        <v>98</v>
      </c>
      <c r="G121" s="107">
        <f t="shared" si="162"/>
        <v>0.10666666666666667</v>
      </c>
      <c r="H121" s="2" t="s">
        <v>98</v>
      </c>
      <c r="I121" s="18">
        <f t="shared" si="163"/>
        <v>9.5238095238095233E-2</v>
      </c>
      <c r="J121" s="2" t="s">
        <v>98</v>
      </c>
      <c r="K121" s="67">
        <f t="shared" si="164"/>
        <v>4.2857142857142858E-2</v>
      </c>
      <c r="L121" s="2" t="s">
        <v>98</v>
      </c>
      <c r="M121" s="107">
        <f t="shared" si="165"/>
        <v>2.3809523809523808E-2</v>
      </c>
      <c r="N121" s="18">
        <f t="shared" si="151"/>
        <v>8.2857142857142865E-2</v>
      </c>
      <c r="O121" s="114" t="s">
        <v>98</v>
      </c>
      <c r="P121" s="107">
        <f t="shared" si="166"/>
        <v>6.333333333333333</v>
      </c>
      <c r="Q121" s="18">
        <f t="shared" si="156"/>
        <v>1.8347666666666667</v>
      </c>
      <c r="R121" s="114" t="s">
        <v>98</v>
      </c>
      <c r="S121" s="107">
        <f t="shared" si="167"/>
        <v>3.9047619047619047</v>
      </c>
      <c r="T121" s="17"/>
      <c r="U121" s="2" t="s">
        <v>98</v>
      </c>
      <c r="V121" s="107">
        <f t="shared" si="168"/>
        <v>5.0952380952380949</v>
      </c>
      <c r="W121" s="18">
        <f t="shared" si="157"/>
        <v>1.5285714285714285</v>
      </c>
      <c r="X121" s="2" t="s">
        <v>98</v>
      </c>
      <c r="Y121" s="108">
        <f t="shared" si="169"/>
        <v>2.6666666666666665</v>
      </c>
      <c r="Z121" s="18">
        <f t="shared" si="158"/>
        <v>2.6090871491875922</v>
      </c>
      <c r="AA121" s="2" t="s">
        <v>98</v>
      </c>
      <c r="AB121" s="107">
        <f t="shared" si="170"/>
        <v>0.52904761904761899</v>
      </c>
      <c r="AC121" s="17"/>
      <c r="AD121" s="24">
        <f t="shared" si="159"/>
        <v>0.35761904761904767</v>
      </c>
      <c r="AE121" s="2" t="s">
        <v>98</v>
      </c>
      <c r="AF121" s="107">
        <f t="shared" si="171"/>
        <v>9.5238095238095247E-3</v>
      </c>
      <c r="AG121" s="2"/>
      <c r="AH121" s="29"/>
    </row>
    <row r="122" spans="1:34" x14ac:dyDescent="0.25">
      <c r="A122" s="5">
        <v>44716</v>
      </c>
      <c r="B122" s="2" t="s">
        <v>98</v>
      </c>
      <c r="C122" s="18">
        <f t="shared" si="160"/>
        <v>5.2380952380952382E-2</v>
      </c>
      <c r="D122" s="2" t="s">
        <v>98</v>
      </c>
      <c r="E122" s="107">
        <f t="shared" si="161"/>
        <v>2.7142857142857142E-2</v>
      </c>
      <c r="F122" s="2" t="s">
        <v>98</v>
      </c>
      <c r="G122" s="107">
        <f t="shared" si="162"/>
        <v>0.10666666666666667</v>
      </c>
      <c r="H122" s="2" t="s">
        <v>98</v>
      </c>
      <c r="I122" s="18">
        <f t="shared" si="163"/>
        <v>9.5238095238095233E-2</v>
      </c>
      <c r="J122" s="2" t="s">
        <v>98</v>
      </c>
      <c r="K122" s="67">
        <f t="shared" si="164"/>
        <v>4.2857142857142858E-2</v>
      </c>
      <c r="L122" s="2" t="s">
        <v>98</v>
      </c>
      <c r="M122" s="107">
        <f t="shared" si="165"/>
        <v>2.3809523809523808E-2</v>
      </c>
      <c r="N122" s="18">
        <f t="shared" si="151"/>
        <v>8.2857142857142865E-2</v>
      </c>
      <c r="O122" s="114" t="s">
        <v>98</v>
      </c>
      <c r="P122" s="107">
        <f t="shared" si="166"/>
        <v>6.333333333333333</v>
      </c>
      <c r="Q122" s="18">
        <f t="shared" si="156"/>
        <v>1.8347666666666667</v>
      </c>
      <c r="R122" s="114" t="s">
        <v>98</v>
      </c>
      <c r="S122" s="107">
        <f t="shared" si="167"/>
        <v>3.9047619047619047</v>
      </c>
      <c r="T122" s="17"/>
      <c r="U122" s="2" t="s">
        <v>98</v>
      </c>
      <c r="V122" s="107">
        <f t="shared" si="168"/>
        <v>5.0952380952380949</v>
      </c>
      <c r="W122" s="18">
        <f t="shared" si="157"/>
        <v>1.5285714285714285</v>
      </c>
      <c r="X122" s="2" t="s">
        <v>98</v>
      </c>
      <c r="Y122" s="108">
        <f t="shared" si="169"/>
        <v>2.6666666666666665</v>
      </c>
      <c r="Z122" s="18">
        <f t="shared" si="158"/>
        <v>2.6090871491875922</v>
      </c>
      <c r="AA122" s="2" t="s">
        <v>98</v>
      </c>
      <c r="AB122" s="107">
        <f t="shared" si="170"/>
        <v>0.52904761904761899</v>
      </c>
      <c r="AC122" s="17"/>
      <c r="AD122" s="24">
        <f t="shared" si="159"/>
        <v>0.35761904761904767</v>
      </c>
      <c r="AE122" s="2" t="s">
        <v>98</v>
      </c>
      <c r="AF122" s="107">
        <f t="shared" si="171"/>
        <v>9.5238095238095247E-3</v>
      </c>
      <c r="AG122" s="2"/>
      <c r="AH122" s="29"/>
    </row>
    <row r="123" spans="1:34" x14ac:dyDescent="0.25">
      <c r="A123" s="5">
        <v>44717</v>
      </c>
      <c r="B123" s="2" t="s">
        <v>98</v>
      </c>
      <c r="C123" s="18">
        <f t="shared" si="160"/>
        <v>5.2380952380952382E-2</v>
      </c>
      <c r="D123" s="2" t="s">
        <v>98</v>
      </c>
      <c r="E123" s="107">
        <f t="shared" si="161"/>
        <v>2.7142857142857142E-2</v>
      </c>
      <c r="F123" s="2" t="s">
        <v>98</v>
      </c>
      <c r="G123" s="107">
        <f t="shared" si="162"/>
        <v>0.10666666666666667</v>
      </c>
      <c r="H123" s="2" t="s">
        <v>98</v>
      </c>
      <c r="I123" s="18">
        <f t="shared" si="163"/>
        <v>9.5238095238095233E-2</v>
      </c>
      <c r="J123" s="2" t="s">
        <v>98</v>
      </c>
      <c r="K123" s="67">
        <f t="shared" si="164"/>
        <v>4.2857142857142858E-2</v>
      </c>
      <c r="L123" s="2" t="s">
        <v>98</v>
      </c>
      <c r="M123" s="107">
        <f t="shared" si="165"/>
        <v>2.3809523809523808E-2</v>
      </c>
      <c r="N123" s="18">
        <f t="shared" si="151"/>
        <v>8.2857142857142865E-2</v>
      </c>
      <c r="O123" s="114" t="s">
        <v>98</v>
      </c>
      <c r="P123" s="107">
        <f t="shared" si="166"/>
        <v>6.333333333333333</v>
      </c>
      <c r="Q123" s="18">
        <f t="shared" si="156"/>
        <v>1.8347666666666667</v>
      </c>
      <c r="R123" s="114" t="s">
        <v>98</v>
      </c>
      <c r="S123" s="107">
        <f t="shared" si="167"/>
        <v>3.9047619047619047</v>
      </c>
      <c r="T123" s="17"/>
      <c r="U123" s="2" t="s">
        <v>98</v>
      </c>
      <c r="V123" s="107">
        <f t="shared" si="168"/>
        <v>5.0952380952380949</v>
      </c>
      <c r="W123" s="18">
        <f t="shared" si="157"/>
        <v>1.5285714285714285</v>
      </c>
      <c r="X123" s="2" t="s">
        <v>98</v>
      </c>
      <c r="Y123" s="108">
        <f t="shared" si="169"/>
        <v>2.6666666666666665</v>
      </c>
      <c r="Z123" s="18">
        <f t="shared" si="158"/>
        <v>2.6090871491875922</v>
      </c>
      <c r="AA123" s="2" t="s">
        <v>98</v>
      </c>
      <c r="AB123" s="107">
        <f t="shared" si="170"/>
        <v>0.52904761904761899</v>
      </c>
      <c r="AC123" s="17"/>
      <c r="AD123" s="24">
        <f t="shared" si="159"/>
        <v>0.35761904761904767</v>
      </c>
      <c r="AE123" s="2" t="s">
        <v>98</v>
      </c>
      <c r="AF123" s="107">
        <f t="shared" si="171"/>
        <v>9.5238095238095247E-3</v>
      </c>
      <c r="AG123" s="2"/>
      <c r="AH123" s="29"/>
    </row>
    <row r="124" spans="1:34" x14ac:dyDescent="0.25">
      <c r="A124" s="5">
        <v>44718</v>
      </c>
      <c r="B124" s="2" t="s">
        <v>98</v>
      </c>
      <c r="C124" s="18">
        <f t="shared" si="160"/>
        <v>5.2380952380952382E-2</v>
      </c>
      <c r="D124" s="2" t="s">
        <v>98</v>
      </c>
      <c r="E124" s="107">
        <f t="shared" si="161"/>
        <v>2.7142857142857142E-2</v>
      </c>
      <c r="F124" s="2" t="s">
        <v>98</v>
      </c>
      <c r="G124" s="107">
        <f t="shared" si="162"/>
        <v>0.10666666666666667</v>
      </c>
      <c r="H124" s="2" t="s">
        <v>98</v>
      </c>
      <c r="I124" s="18">
        <f t="shared" si="163"/>
        <v>9.5238095238095233E-2</v>
      </c>
      <c r="J124" s="2" t="s">
        <v>98</v>
      </c>
      <c r="K124" s="67">
        <f t="shared" si="164"/>
        <v>4.2857142857142858E-2</v>
      </c>
      <c r="L124" s="2" t="s">
        <v>98</v>
      </c>
      <c r="M124" s="107">
        <f t="shared" si="165"/>
        <v>2.3809523809523808E-2</v>
      </c>
      <c r="N124" s="18">
        <f t="shared" si="151"/>
        <v>8.2857142857142865E-2</v>
      </c>
      <c r="O124" s="114" t="s">
        <v>98</v>
      </c>
      <c r="P124" s="107">
        <f t="shared" si="166"/>
        <v>6.333333333333333</v>
      </c>
      <c r="Q124" s="18">
        <f t="shared" si="156"/>
        <v>1.8347666666666667</v>
      </c>
      <c r="R124" s="114" t="s">
        <v>98</v>
      </c>
      <c r="S124" s="107">
        <f t="shared" si="167"/>
        <v>3.9047619047619047</v>
      </c>
      <c r="T124" s="17"/>
      <c r="U124" s="2" t="s">
        <v>98</v>
      </c>
      <c r="V124" s="107">
        <f t="shared" si="168"/>
        <v>5.0952380952380949</v>
      </c>
      <c r="W124" s="18">
        <f t="shared" si="157"/>
        <v>1.5285714285714285</v>
      </c>
      <c r="X124" s="2" t="s">
        <v>98</v>
      </c>
      <c r="Y124" s="108">
        <f t="shared" si="169"/>
        <v>2.6666666666666665</v>
      </c>
      <c r="Z124" s="18">
        <f t="shared" si="158"/>
        <v>2.6090871491875922</v>
      </c>
      <c r="AA124" s="2" t="s">
        <v>98</v>
      </c>
      <c r="AB124" s="107">
        <f t="shared" si="170"/>
        <v>0.52904761904761899</v>
      </c>
      <c r="AC124" s="17"/>
      <c r="AD124" s="24">
        <f t="shared" si="159"/>
        <v>0.35761904761904767</v>
      </c>
      <c r="AE124" s="2" t="s">
        <v>98</v>
      </c>
      <c r="AF124" s="107">
        <f t="shared" si="171"/>
        <v>9.5238095238095247E-3</v>
      </c>
      <c r="AG124" s="2"/>
      <c r="AH124" s="29"/>
    </row>
    <row r="125" spans="1:34" x14ac:dyDescent="0.25">
      <c r="A125" s="5">
        <v>44719</v>
      </c>
      <c r="B125" s="2" t="s">
        <v>98</v>
      </c>
      <c r="C125" s="18">
        <f t="shared" si="160"/>
        <v>5.2380952380952382E-2</v>
      </c>
      <c r="D125" s="2" t="s">
        <v>98</v>
      </c>
      <c r="E125" s="107">
        <f t="shared" si="161"/>
        <v>2.7142857142857142E-2</v>
      </c>
      <c r="F125" s="2" t="s">
        <v>98</v>
      </c>
      <c r="G125" s="107">
        <f t="shared" si="162"/>
        <v>0.10666666666666667</v>
      </c>
      <c r="H125" s="2" t="s">
        <v>98</v>
      </c>
      <c r="I125" s="18">
        <f t="shared" si="163"/>
        <v>9.5238095238095233E-2</v>
      </c>
      <c r="J125" s="2" t="s">
        <v>98</v>
      </c>
      <c r="K125" s="67">
        <f t="shared" si="164"/>
        <v>4.2857142857142858E-2</v>
      </c>
      <c r="L125" s="2" t="s">
        <v>98</v>
      </c>
      <c r="M125" s="107">
        <f t="shared" si="165"/>
        <v>2.3809523809523808E-2</v>
      </c>
      <c r="N125" s="18">
        <f t="shared" si="151"/>
        <v>8.2857142857142865E-2</v>
      </c>
      <c r="O125" s="114" t="s">
        <v>98</v>
      </c>
      <c r="P125" s="107">
        <f t="shared" si="166"/>
        <v>6.333333333333333</v>
      </c>
      <c r="Q125" s="18">
        <f t="shared" si="156"/>
        <v>1.8347666666666667</v>
      </c>
      <c r="R125" s="114" t="s">
        <v>98</v>
      </c>
      <c r="S125" s="107">
        <f t="shared" si="167"/>
        <v>3.9047619047619047</v>
      </c>
      <c r="T125" s="17"/>
      <c r="U125" s="2" t="s">
        <v>98</v>
      </c>
      <c r="V125" s="107">
        <f t="shared" si="168"/>
        <v>5.0952380952380949</v>
      </c>
      <c r="W125" s="18">
        <f t="shared" si="157"/>
        <v>1.5285714285714285</v>
      </c>
      <c r="X125" s="2" t="s">
        <v>98</v>
      </c>
      <c r="Y125" s="108">
        <f t="shared" si="169"/>
        <v>2.6666666666666665</v>
      </c>
      <c r="Z125" s="18">
        <f t="shared" si="158"/>
        <v>2.6090871491875922</v>
      </c>
      <c r="AA125" s="2" t="s">
        <v>98</v>
      </c>
      <c r="AB125" s="107">
        <f t="shared" si="170"/>
        <v>0.52904761904761899</v>
      </c>
      <c r="AC125" s="17"/>
      <c r="AD125" s="24">
        <f t="shared" si="159"/>
        <v>0.35761904761904767</v>
      </c>
      <c r="AE125" s="2" t="s">
        <v>98</v>
      </c>
      <c r="AF125" s="107">
        <f t="shared" si="171"/>
        <v>9.5238095238095247E-3</v>
      </c>
      <c r="AG125" s="2"/>
      <c r="AH125" s="29"/>
    </row>
    <row r="126" spans="1:34" x14ac:dyDescent="0.25">
      <c r="A126" s="5">
        <v>44720</v>
      </c>
      <c r="B126" s="2" t="s">
        <v>98</v>
      </c>
      <c r="C126" s="18">
        <f t="shared" si="160"/>
        <v>5.2380952380952382E-2</v>
      </c>
      <c r="D126" s="2" t="s">
        <v>98</v>
      </c>
      <c r="E126" s="107">
        <f t="shared" si="161"/>
        <v>2.7142857142857142E-2</v>
      </c>
      <c r="F126" s="2" t="s">
        <v>98</v>
      </c>
      <c r="G126" s="107">
        <f t="shared" si="162"/>
        <v>0.10666666666666667</v>
      </c>
      <c r="H126" s="2" t="s">
        <v>98</v>
      </c>
      <c r="I126" s="18">
        <f t="shared" si="163"/>
        <v>9.5238095238095233E-2</v>
      </c>
      <c r="J126" s="2" t="s">
        <v>98</v>
      </c>
      <c r="K126" s="67">
        <f t="shared" si="164"/>
        <v>4.2857142857142858E-2</v>
      </c>
      <c r="L126" s="2" t="s">
        <v>98</v>
      </c>
      <c r="M126" s="107">
        <f t="shared" si="165"/>
        <v>2.3809523809523808E-2</v>
      </c>
      <c r="N126" s="18">
        <f t="shared" si="151"/>
        <v>8.2857142857142865E-2</v>
      </c>
      <c r="O126" s="114" t="s">
        <v>98</v>
      </c>
      <c r="P126" s="107">
        <f t="shared" si="166"/>
        <v>6.333333333333333</v>
      </c>
      <c r="Q126" s="18">
        <f t="shared" si="156"/>
        <v>1.8347666666666667</v>
      </c>
      <c r="R126" s="114" t="s">
        <v>98</v>
      </c>
      <c r="S126" s="107">
        <f t="shared" si="167"/>
        <v>3.9047619047619047</v>
      </c>
      <c r="T126" s="17"/>
      <c r="U126" s="2" t="s">
        <v>98</v>
      </c>
      <c r="V126" s="107">
        <f t="shared" si="168"/>
        <v>5.0952380952380949</v>
      </c>
      <c r="W126" s="18">
        <f t="shared" si="157"/>
        <v>1.5285714285714285</v>
      </c>
      <c r="X126" s="2" t="s">
        <v>98</v>
      </c>
      <c r="Y126" s="108">
        <f t="shared" si="169"/>
        <v>2.6666666666666665</v>
      </c>
      <c r="Z126" s="18">
        <f t="shared" si="158"/>
        <v>2.6090871491875922</v>
      </c>
      <c r="AA126" s="2" t="s">
        <v>98</v>
      </c>
      <c r="AB126" s="107">
        <f t="shared" si="170"/>
        <v>0.52904761904761899</v>
      </c>
      <c r="AC126" s="17"/>
      <c r="AD126" s="24">
        <f t="shared" si="159"/>
        <v>0.35761904761904767</v>
      </c>
      <c r="AE126" s="2" t="s">
        <v>98</v>
      </c>
      <c r="AF126" s="107">
        <f t="shared" si="171"/>
        <v>9.5238095238095247E-3</v>
      </c>
      <c r="AG126" s="2"/>
      <c r="AH126" s="29"/>
    </row>
    <row r="127" spans="1:34" x14ac:dyDescent="0.25">
      <c r="A127" s="5">
        <v>44721</v>
      </c>
      <c r="B127" s="2">
        <v>17.54</v>
      </c>
      <c r="C127" s="18">
        <f>1.1/21</f>
        <v>5.2380952380952382E-2</v>
      </c>
      <c r="D127" s="67">
        <v>5.61</v>
      </c>
      <c r="E127" s="107">
        <f t="shared" si="161"/>
        <v>2.7142857142857142E-2</v>
      </c>
      <c r="F127" s="2">
        <v>61.17</v>
      </c>
      <c r="G127" s="107">
        <f t="shared" si="162"/>
        <v>0.10666666666666667</v>
      </c>
      <c r="H127" s="2">
        <v>2.09</v>
      </c>
      <c r="I127" s="18">
        <f t="shared" si="163"/>
        <v>9.5238095238095233E-2</v>
      </c>
      <c r="J127" s="2">
        <v>64.11</v>
      </c>
      <c r="K127" s="20">
        <f t="shared" si="164"/>
        <v>4.2857142857142858E-2</v>
      </c>
      <c r="L127" s="2">
        <v>43.45</v>
      </c>
      <c r="M127" s="107">
        <f t="shared" si="165"/>
        <v>2.3809523809523808E-2</v>
      </c>
      <c r="N127" s="18">
        <f>G127-M127</f>
        <v>8.2857142857142865E-2</v>
      </c>
      <c r="O127" s="114">
        <v>68338</v>
      </c>
      <c r="P127" s="107">
        <f t="shared" si="166"/>
        <v>6.333333333333333</v>
      </c>
      <c r="Q127" s="18">
        <f t="shared" si="156"/>
        <v>1.8347666666666667</v>
      </c>
      <c r="R127" s="114">
        <v>1211</v>
      </c>
      <c r="S127" s="107">
        <f t="shared" si="167"/>
        <v>3.9047619047619047</v>
      </c>
      <c r="T127" s="17"/>
      <c r="U127" s="2">
        <v>33394</v>
      </c>
      <c r="V127" s="107">
        <f t="shared" si="168"/>
        <v>5.0952380952380949</v>
      </c>
      <c r="W127" s="18">
        <f t="shared" si="157"/>
        <v>1.5285714285714285</v>
      </c>
      <c r="X127" s="2">
        <v>12015</v>
      </c>
      <c r="Y127" s="108">
        <f t="shared" si="169"/>
        <v>2.6666666666666665</v>
      </c>
      <c r="Z127" s="18">
        <f t="shared" si="158"/>
        <v>2.6090871491875922</v>
      </c>
      <c r="AA127" s="2">
        <v>827.9</v>
      </c>
      <c r="AB127" s="107">
        <f t="shared" si="170"/>
        <v>0.52904761904761899</v>
      </c>
      <c r="AC127" s="17"/>
      <c r="AD127" s="24">
        <f t="shared" si="159"/>
        <v>0.35761904761904767</v>
      </c>
      <c r="AE127" s="25">
        <v>133.5</v>
      </c>
      <c r="AF127" s="107">
        <f t="shared" si="171"/>
        <v>9.5238095238095247E-3</v>
      </c>
      <c r="AG127" s="2"/>
      <c r="AH127" s="29"/>
    </row>
    <row r="128" spans="1:34" x14ac:dyDescent="0.25">
      <c r="A128" s="5">
        <v>44722</v>
      </c>
      <c r="B128" s="2">
        <v>17.600000000000001</v>
      </c>
      <c r="C128" s="18">
        <f>B128-B127</f>
        <v>6.0000000000002274E-2</v>
      </c>
      <c r="D128" s="67">
        <v>5.64</v>
      </c>
      <c r="E128" s="107">
        <f>D128-D127</f>
        <v>2.9999999999999361E-2</v>
      </c>
      <c r="F128" s="2">
        <v>61.35</v>
      </c>
      <c r="G128" s="107">
        <f>F128-F127</f>
        <v>0.17999999999999972</v>
      </c>
      <c r="H128" s="2">
        <v>2.1</v>
      </c>
      <c r="I128" s="18">
        <f>H128-H127</f>
        <v>1.0000000000000231E-2</v>
      </c>
      <c r="J128" s="2">
        <v>64.3</v>
      </c>
      <c r="K128" s="20">
        <f>J128-J127</f>
        <v>0.18999999999999773</v>
      </c>
      <c r="L128" s="2">
        <v>43.59</v>
      </c>
      <c r="M128" s="18">
        <f>L128-L127</f>
        <v>0.14000000000000057</v>
      </c>
      <c r="N128" s="18">
        <f>G128-M128</f>
        <v>3.9999999999999147E-2</v>
      </c>
      <c r="O128" s="114">
        <v>68348</v>
      </c>
      <c r="P128" s="17">
        <f>O128-O127</f>
        <v>10</v>
      </c>
      <c r="Q128" s="18">
        <f t="shared" si="156"/>
        <v>2.8970000000000002</v>
      </c>
      <c r="R128" s="114">
        <v>1222</v>
      </c>
      <c r="S128" s="17">
        <f>R128-R127</f>
        <v>11</v>
      </c>
      <c r="T128" s="68"/>
      <c r="U128" s="2">
        <v>33400</v>
      </c>
      <c r="V128" s="68">
        <f>U128-U127</f>
        <v>6</v>
      </c>
      <c r="W128" s="18">
        <f t="shared" si="157"/>
        <v>1.7999999999999998</v>
      </c>
      <c r="X128" s="2">
        <v>12017</v>
      </c>
      <c r="Y128" s="108">
        <f>X128-X127</f>
        <v>2</v>
      </c>
      <c r="Z128" s="18">
        <f t="shared" si="158"/>
        <v>1.956815361890694</v>
      </c>
      <c r="AA128" s="2">
        <v>828.9</v>
      </c>
      <c r="AB128" s="17">
        <f>AA128-AA127</f>
        <v>1</v>
      </c>
      <c r="AC128" s="17"/>
      <c r="AD128" s="24">
        <f t="shared" si="159"/>
        <v>0.70999999999999419</v>
      </c>
      <c r="AE128" s="25">
        <v>133.6</v>
      </c>
      <c r="AF128" s="24">
        <f>AE128-AE127</f>
        <v>9.9999999999994316E-2</v>
      </c>
      <c r="AG128" s="2"/>
      <c r="AH128" s="29"/>
    </row>
    <row r="129" spans="1:34" x14ac:dyDescent="0.25">
      <c r="A129" s="5">
        <v>44723</v>
      </c>
      <c r="B129" s="2">
        <v>17.649999999999999</v>
      </c>
      <c r="C129" s="18">
        <f t="shared" ref="C129:C148" si="173">B129-B128</f>
        <v>4.9999999999997158E-2</v>
      </c>
      <c r="D129" s="67">
        <v>5.69</v>
      </c>
      <c r="E129" s="107">
        <f t="shared" ref="E129:E138" si="174">D129-D128</f>
        <v>5.0000000000000711E-2</v>
      </c>
      <c r="F129" s="2">
        <v>61.61</v>
      </c>
      <c r="G129" s="107">
        <f t="shared" ref="G129:G148" si="175">F129-F128</f>
        <v>0.25999999999999801</v>
      </c>
      <c r="H129" s="2">
        <v>2.13</v>
      </c>
      <c r="I129" s="18">
        <f t="shared" ref="I129:I148" si="176">H129-H128</f>
        <v>2.9999999999999805E-2</v>
      </c>
      <c r="J129" s="2">
        <v>64.48</v>
      </c>
      <c r="K129" s="20">
        <f t="shared" ref="K129:K148" si="177">J129-J128</f>
        <v>0.18000000000000682</v>
      </c>
      <c r="L129" s="2">
        <v>43.7</v>
      </c>
      <c r="M129" s="18">
        <f t="shared" ref="M129:M138" si="178">L129-L128</f>
        <v>0.10999999999999943</v>
      </c>
      <c r="N129" s="18">
        <f t="shared" ref="N129:N138" si="179">G129-M129</f>
        <v>0.14999999999999858</v>
      </c>
      <c r="O129" s="114">
        <v>68360</v>
      </c>
      <c r="P129" s="17">
        <f t="shared" ref="P129:P132" si="180">O129-O128</f>
        <v>12</v>
      </c>
      <c r="Q129" s="18">
        <f t="shared" ref="Q129:Q130" si="181">P129*$C$2</f>
        <v>3.4763999999999999</v>
      </c>
      <c r="R129" s="114">
        <v>1227</v>
      </c>
      <c r="S129" s="17">
        <f t="shared" ref="S129:S131" si="182">R129-R128</f>
        <v>5</v>
      </c>
      <c r="T129" s="68"/>
      <c r="U129" s="2">
        <v>33410</v>
      </c>
      <c r="V129" s="68">
        <f t="shared" ref="V129:V131" si="183">U129-U128</f>
        <v>10</v>
      </c>
      <c r="W129" s="18">
        <f t="shared" ref="W129:W130" si="184">V129*$C$3</f>
        <v>3</v>
      </c>
      <c r="X129" s="2">
        <v>12019</v>
      </c>
      <c r="Y129" s="108">
        <f t="shared" ref="Y129:Y131" si="185">X129-X128</f>
        <v>2</v>
      </c>
      <c r="Z129" s="18">
        <f t="shared" ref="Z129:Z130" si="186">Y129*$C$5*$G$4</f>
        <v>1.956815361890694</v>
      </c>
      <c r="AA129" s="2">
        <v>830.25</v>
      </c>
      <c r="AB129" s="17">
        <f t="shared" ref="AB129:AB131" si="187">AA129-AA128</f>
        <v>1.3500000000000227</v>
      </c>
      <c r="AC129" s="17"/>
      <c r="AD129" s="24">
        <f t="shared" ref="AD129:AD130" si="188">C129+E129+G129+I129+K129+M129+AF129</f>
        <v>0.69000000000002126</v>
      </c>
      <c r="AE129" s="25">
        <v>133.61000000000001</v>
      </c>
      <c r="AF129" s="24">
        <f t="shared" ref="AF129:AF137" si="189">AE129-AE128</f>
        <v>1.0000000000019327E-2</v>
      </c>
      <c r="AG129" s="2"/>
      <c r="AH129" s="29"/>
    </row>
    <row r="130" spans="1:34" x14ac:dyDescent="0.25">
      <c r="A130" s="5">
        <v>44724</v>
      </c>
      <c r="B130" s="2">
        <v>17.71</v>
      </c>
      <c r="C130" s="18">
        <f t="shared" si="173"/>
        <v>6.0000000000002274E-2</v>
      </c>
      <c r="D130" s="67">
        <v>5.73</v>
      </c>
      <c r="E130" s="107">
        <f t="shared" si="174"/>
        <v>4.0000000000000036E-2</v>
      </c>
      <c r="F130" s="2">
        <v>61.81</v>
      </c>
      <c r="G130" s="107">
        <f t="shared" si="175"/>
        <v>0.20000000000000284</v>
      </c>
      <c r="H130" s="2">
        <v>2.14</v>
      </c>
      <c r="I130" s="18">
        <f t="shared" si="176"/>
        <v>1.0000000000000231E-2</v>
      </c>
      <c r="J130" s="2">
        <v>64.650000000000006</v>
      </c>
      <c r="K130" s="20">
        <f t="shared" si="177"/>
        <v>0.17000000000000171</v>
      </c>
      <c r="L130" s="2">
        <v>43.87</v>
      </c>
      <c r="M130" s="18">
        <f t="shared" si="178"/>
        <v>0.1699999999999946</v>
      </c>
      <c r="N130" s="18">
        <f t="shared" si="179"/>
        <v>3.0000000000008242E-2</v>
      </c>
      <c r="O130" s="114">
        <v>68370</v>
      </c>
      <c r="P130" s="17">
        <f t="shared" si="180"/>
        <v>10</v>
      </c>
      <c r="Q130" s="18">
        <f t="shared" si="181"/>
        <v>2.8970000000000002</v>
      </c>
      <c r="R130" s="114">
        <v>1232</v>
      </c>
      <c r="S130" s="17">
        <f t="shared" si="182"/>
        <v>5</v>
      </c>
      <c r="T130" s="68"/>
      <c r="U130" s="2">
        <v>33415</v>
      </c>
      <c r="V130" s="68">
        <f t="shared" si="183"/>
        <v>5</v>
      </c>
      <c r="W130" s="18">
        <f t="shared" si="184"/>
        <v>1.5</v>
      </c>
      <c r="X130" s="2">
        <v>12021</v>
      </c>
      <c r="Y130" s="108">
        <f t="shared" si="185"/>
        <v>2</v>
      </c>
      <c r="Z130" s="18">
        <f t="shared" si="186"/>
        <v>1.956815361890694</v>
      </c>
      <c r="AA130" s="2">
        <v>831.21</v>
      </c>
      <c r="AB130" s="17">
        <f t="shared" si="187"/>
        <v>0.96000000000003638</v>
      </c>
      <c r="AC130" s="17"/>
      <c r="AD130" s="24">
        <f t="shared" si="188"/>
        <v>0.72999999999998577</v>
      </c>
      <c r="AE130" s="25">
        <v>133.69</v>
      </c>
      <c r="AF130" s="24">
        <f t="shared" si="189"/>
        <v>7.9999999999984084E-2</v>
      </c>
      <c r="AG130" s="2"/>
      <c r="AH130" s="29"/>
    </row>
    <row r="131" spans="1:34" x14ac:dyDescent="0.25">
      <c r="A131" s="5">
        <v>44725</v>
      </c>
      <c r="B131" s="2">
        <v>17.78</v>
      </c>
      <c r="C131" s="18">
        <f t="shared" si="173"/>
        <v>7.0000000000000284E-2</v>
      </c>
      <c r="D131" s="67">
        <v>5.83</v>
      </c>
      <c r="E131" s="107">
        <f t="shared" si="174"/>
        <v>9.9999999999999645E-2</v>
      </c>
      <c r="F131" s="2">
        <v>62.06</v>
      </c>
      <c r="G131" s="107">
        <f t="shared" si="175"/>
        <v>0.25</v>
      </c>
      <c r="H131" s="2">
        <v>2.1800000000000002</v>
      </c>
      <c r="I131" s="18">
        <f t="shared" si="176"/>
        <v>4.0000000000000036E-2</v>
      </c>
      <c r="J131" s="2">
        <v>64.77</v>
      </c>
      <c r="K131" s="20">
        <f t="shared" si="177"/>
        <v>0.11999999999999034</v>
      </c>
      <c r="L131" s="2">
        <v>43.97</v>
      </c>
      <c r="M131" s="18">
        <f t="shared" si="178"/>
        <v>0.10000000000000142</v>
      </c>
      <c r="N131" s="18">
        <f t="shared" si="179"/>
        <v>0.14999999999999858</v>
      </c>
      <c r="O131" s="114">
        <v>68377</v>
      </c>
      <c r="P131" s="17">
        <f t="shared" si="180"/>
        <v>7</v>
      </c>
      <c r="Q131" s="18">
        <f t="shared" ref="Q131:Q132" si="190">P131*$C$2</f>
        <v>2.0279000000000003</v>
      </c>
      <c r="R131" s="114">
        <v>1236</v>
      </c>
      <c r="S131" s="17">
        <f t="shared" si="182"/>
        <v>4</v>
      </c>
      <c r="T131" s="68"/>
      <c r="U131" s="2">
        <v>33425</v>
      </c>
      <c r="V131" s="68">
        <f t="shared" si="183"/>
        <v>10</v>
      </c>
      <c r="W131" s="18">
        <f t="shared" ref="W131" si="191">V131*$C$3</f>
        <v>3</v>
      </c>
      <c r="X131" s="2">
        <v>12023</v>
      </c>
      <c r="Y131" s="108">
        <f t="shared" si="185"/>
        <v>2</v>
      </c>
      <c r="Z131" s="18">
        <f t="shared" ref="Z131" si="192">Y131*$C$5*$G$4</f>
        <v>1.956815361890694</v>
      </c>
      <c r="AA131" s="2">
        <v>832.37</v>
      </c>
      <c r="AB131" s="17">
        <f t="shared" si="187"/>
        <v>1.1599999999999682</v>
      </c>
      <c r="AC131" s="17"/>
      <c r="AD131" s="24">
        <f t="shared" ref="AD131" si="193">C131+E131+G131+I131+K131+M131+AF131</f>
        <v>0.7499999999999849</v>
      </c>
      <c r="AE131" s="25">
        <v>133.76</v>
      </c>
      <c r="AF131" s="24">
        <f t="shared" si="189"/>
        <v>6.9999999999993179E-2</v>
      </c>
      <c r="AG131" s="2"/>
      <c r="AH131" s="29"/>
    </row>
    <row r="132" spans="1:34" x14ac:dyDescent="0.25">
      <c r="A132" s="5">
        <v>44726</v>
      </c>
      <c r="B132" s="2">
        <v>17.82</v>
      </c>
      <c r="C132" s="18">
        <f t="shared" si="173"/>
        <v>3.9999999999999147E-2</v>
      </c>
      <c r="D132" s="67">
        <v>5.85</v>
      </c>
      <c r="E132" s="107">
        <f t="shared" si="174"/>
        <v>1.9999999999999574E-2</v>
      </c>
      <c r="F132" s="2">
        <v>62.45</v>
      </c>
      <c r="G132" s="107">
        <f t="shared" si="175"/>
        <v>0.39000000000000057</v>
      </c>
      <c r="H132" s="2">
        <v>2.2000000000000002</v>
      </c>
      <c r="I132" s="18">
        <f t="shared" si="176"/>
        <v>2.0000000000000018E-2</v>
      </c>
      <c r="J132" s="2">
        <v>64.930000000000007</v>
      </c>
      <c r="K132" s="20">
        <f t="shared" si="177"/>
        <v>0.1600000000000108</v>
      </c>
      <c r="L132" s="2">
        <v>44.07</v>
      </c>
      <c r="M132" s="18">
        <f t="shared" si="178"/>
        <v>0.10000000000000142</v>
      </c>
      <c r="N132" s="18">
        <f t="shared" si="179"/>
        <v>0.28999999999999915</v>
      </c>
      <c r="O132" s="114">
        <v>68384</v>
      </c>
      <c r="P132" s="17">
        <f t="shared" si="180"/>
        <v>7</v>
      </c>
      <c r="Q132" s="18">
        <f t="shared" si="190"/>
        <v>2.0279000000000003</v>
      </c>
      <c r="R132" s="114">
        <v>1239</v>
      </c>
      <c r="S132" s="17">
        <f t="shared" ref="S132" si="194">R132-R131</f>
        <v>3</v>
      </c>
      <c r="T132" s="68"/>
      <c r="U132" s="2">
        <v>33428</v>
      </c>
      <c r="V132" s="68">
        <f t="shared" ref="V132" si="195">U132-U131</f>
        <v>3</v>
      </c>
      <c r="W132" s="18">
        <f t="shared" ref="W132" si="196">V132*$C$3</f>
        <v>0.89999999999999991</v>
      </c>
      <c r="X132" s="2">
        <v>12025</v>
      </c>
      <c r="Y132" s="108">
        <f t="shared" ref="Y132" si="197">X132-X131</f>
        <v>2</v>
      </c>
      <c r="Z132" s="18">
        <f t="shared" ref="Z132" si="198">Y132*$C$5*$G$4</f>
        <v>1.956815361890694</v>
      </c>
      <c r="AA132" s="2">
        <v>833.45</v>
      </c>
      <c r="AB132" s="17">
        <f t="shared" ref="AB132" si="199">AA132-AA131</f>
        <v>1.0800000000000409</v>
      </c>
      <c r="AC132" s="17"/>
      <c r="AD132" s="24">
        <f t="shared" ref="AD132" si="200">C132+E132+G132+I132+K132+M132+AF132</f>
        <v>0.97000000000002062</v>
      </c>
      <c r="AE132" s="25">
        <v>134</v>
      </c>
      <c r="AF132" s="24">
        <f t="shared" si="189"/>
        <v>0.24000000000000909</v>
      </c>
      <c r="AG132" s="2"/>
      <c r="AH132" s="29"/>
    </row>
    <row r="133" spans="1:34" x14ac:dyDescent="0.25">
      <c r="A133" s="5">
        <v>44727</v>
      </c>
      <c r="B133" s="2">
        <v>17.89</v>
      </c>
      <c r="C133" s="18">
        <f t="shared" si="173"/>
        <v>7.0000000000000284E-2</v>
      </c>
      <c r="D133" s="67">
        <v>5.91</v>
      </c>
      <c r="E133" s="107">
        <f t="shared" si="174"/>
        <v>6.0000000000000497E-2</v>
      </c>
      <c r="F133" s="2">
        <v>62.75</v>
      </c>
      <c r="G133" s="107">
        <f t="shared" si="175"/>
        <v>0.29999999999999716</v>
      </c>
      <c r="H133" s="2">
        <v>2.23</v>
      </c>
      <c r="I133" s="18">
        <f t="shared" si="176"/>
        <v>2.9999999999999805E-2</v>
      </c>
      <c r="J133" s="2">
        <v>65.08</v>
      </c>
      <c r="K133" s="20">
        <f t="shared" si="177"/>
        <v>0.14999999999999147</v>
      </c>
      <c r="L133" s="2">
        <v>44.24</v>
      </c>
      <c r="M133" s="18">
        <f t="shared" si="178"/>
        <v>0.17000000000000171</v>
      </c>
      <c r="N133" s="18">
        <f t="shared" si="179"/>
        <v>0.12999999999999545</v>
      </c>
      <c r="O133" s="114">
        <v>68391</v>
      </c>
      <c r="P133" s="17">
        <f t="shared" ref="P133" si="201">O133-O132</f>
        <v>7</v>
      </c>
      <c r="Q133" s="18">
        <f t="shared" ref="Q133" si="202">P133*$C$2</f>
        <v>2.0279000000000003</v>
      </c>
      <c r="R133" s="114">
        <v>1243</v>
      </c>
      <c r="S133" s="17">
        <f t="shared" ref="S133" si="203">R133-R132</f>
        <v>4</v>
      </c>
      <c r="T133" s="68"/>
      <c r="U133" s="2">
        <v>33434</v>
      </c>
      <c r="V133" s="68">
        <f t="shared" ref="V133" si="204">U133-U132</f>
        <v>6</v>
      </c>
      <c r="W133" s="18">
        <f t="shared" ref="W133" si="205">V133*$C$3</f>
        <v>1.7999999999999998</v>
      </c>
      <c r="X133" s="2">
        <v>12028</v>
      </c>
      <c r="Y133" s="108">
        <f t="shared" ref="Y133" si="206">X133-X132</f>
        <v>3</v>
      </c>
      <c r="Z133" s="18">
        <f t="shared" ref="Z133" si="207">Y133*$C$5*$G$4</f>
        <v>2.9352230428360411</v>
      </c>
      <c r="AA133" s="2">
        <v>834.54</v>
      </c>
      <c r="AB133" s="17">
        <f t="shared" ref="AB133" si="208">AA133-AA132</f>
        <v>1.0899999999999181</v>
      </c>
      <c r="AC133" s="17"/>
      <c r="AD133" s="24">
        <f t="shared" ref="AD133" si="209">C133+E133+G133+I133+K133+M133+AF133</f>
        <v>0.94999999999997842</v>
      </c>
      <c r="AE133" s="25">
        <v>134.16999999999999</v>
      </c>
      <c r="AF133" s="24">
        <f t="shared" si="189"/>
        <v>0.16999999999998749</v>
      </c>
      <c r="AG133" s="2"/>
      <c r="AH133" s="29"/>
    </row>
    <row r="134" spans="1:34" x14ac:dyDescent="0.25">
      <c r="A134" s="5">
        <v>44728</v>
      </c>
      <c r="B134" s="2">
        <v>17.95</v>
      </c>
      <c r="C134" s="18">
        <f t="shared" si="173"/>
        <v>5.9999999999998721E-2</v>
      </c>
      <c r="D134" s="67">
        <v>5.94</v>
      </c>
      <c r="E134" s="107">
        <f t="shared" si="174"/>
        <v>3.0000000000000249E-2</v>
      </c>
      <c r="F134" s="2">
        <v>63.04</v>
      </c>
      <c r="G134" s="107">
        <f t="shared" si="175"/>
        <v>0.28999999999999915</v>
      </c>
      <c r="H134" s="2">
        <v>2.2400000000000002</v>
      </c>
      <c r="I134" s="18">
        <f t="shared" si="176"/>
        <v>1.0000000000000231E-2</v>
      </c>
      <c r="J134" s="2">
        <v>65.239999999999995</v>
      </c>
      <c r="K134" s="20">
        <f t="shared" si="177"/>
        <v>0.15999999999999659</v>
      </c>
      <c r="L134" s="2">
        <v>44.34</v>
      </c>
      <c r="M134" s="18">
        <f t="shared" si="178"/>
        <v>0.10000000000000142</v>
      </c>
      <c r="N134" s="18">
        <f t="shared" si="179"/>
        <v>0.18999999999999773</v>
      </c>
      <c r="O134" s="114">
        <v>68400</v>
      </c>
      <c r="P134" s="17">
        <f t="shared" ref="P134" si="210">O134-O133</f>
        <v>9</v>
      </c>
      <c r="Q134" s="18">
        <f t="shared" ref="Q134" si="211">P134*$C$2</f>
        <v>2.6073</v>
      </c>
      <c r="R134" s="114">
        <v>1247</v>
      </c>
      <c r="S134" s="17">
        <f t="shared" ref="S134" si="212">R134-R133</f>
        <v>4</v>
      </c>
      <c r="T134" s="68"/>
      <c r="U134" s="2">
        <v>33443</v>
      </c>
      <c r="V134" s="68">
        <f t="shared" ref="V134" si="213">U134-U133</f>
        <v>9</v>
      </c>
      <c r="W134" s="18">
        <f t="shared" ref="W134" si="214">V134*$C$3</f>
        <v>2.6999999999999997</v>
      </c>
      <c r="X134" s="2">
        <v>12030</v>
      </c>
      <c r="Y134" s="108">
        <f t="shared" ref="Y134" si="215">X134-X133</f>
        <v>2</v>
      </c>
      <c r="Z134" s="18">
        <f t="shared" ref="Z134" si="216">Y134*$C$5*$G$4</f>
        <v>1.956815361890694</v>
      </c>
      <c r="AA134" s="2">
        <v>835.97</v>
      </c>
      <c r="AB134" s="17">
        <f t="shared" ref="AB134" si="217">AA134-AA133</f>
        <v>1.4300000000000637</v>
      </c>
      <c r="AC134" s="17"/>
      <c r="AD134" s="24">
        <f t="shared" ref="AD134" si="218">C134+E134+G134+I134+K134+M134+AF134</f>
        <v>1.1199999999999952</v>
      </c>
      <c r="AE134" s="25">
        <v>134.63999999999999</v>
      </c>
      <c r="AF134" s="24">
        <f t="shared" si="189"/>
        <v>0.46999999999999886</v>
      </c>
      <c r="AG134" s="2"/>
      <c r="AH134" s="29"/>
    </row>
    <row r="135" spans="1:34" x14ac:dyDescent="0.25">
      <c r="A135" s="5">
        <v>44729</v>
      </c>
      <c r="B135" s="2">
        <v>18.010000000000002</v>
      </c>
      <c r="C135" s="18">
        <f t="shared" si="173"/>
        <v>6.0000000000002274E-2</v>
      </c>
      <c r="D135" s="67">
        <v>5.95</v>
      </c>
      <c r="E135" s="107">
        <f t="shared" si="174"/>
        <v>9.9999999999997868E-3</v>
      </c>
      <c r="F135" s="2">
        <v>63.17</v>
      </c>
      <c r="G135" s="107">
        <f t="shared" si="175"/>
        <v>0.13000000000000256</v>
      </c>
      <c r="H135" s="2">
        <v>2.2400000000000002</v>
      </c>
      <c r="I135" s="18">
        <f t="shared" si="176"/>
        <v>0</v>
      </c>
      <c r="J135" s="2">
        <v>65.36</v>
      </c>
      <c r="K135" s="20">
        <f t="shared" si="177"/>
        <v>0.12000000000000455</v>
      </c>
      <c r="L135" s="2">
        <v>44.45</v>
      </c>
      <c r="M135" s="18">
        <f t="shared" si="178"/>
        <v>0.10999999999999943</v>
      </c>
      <c r="N135" s="18">
        <f t="shared" si="179"/>
        <v>2.0000000000003126E-2</v>
      </c>
      <c r="O135" s="114">
        <v>68407</v>
      </c>
      <c r="P135" s="17">
        <f t="shared" ref="P135" si="219">O135-O134</f>
        <v>7</v>
      </c>
      <c r="Q135" s="18">
        <f t="shared" ref="Q135" si="220">P135*$C$2</f>
        <v>2.0279000000000003</v>
      </c>
      <c r="R135" s="114">
        <v>1250</v>
      </c>
      <c r="S135" s="17">
        <f t="shared" ref="S135" si="221">R135-R134</f>
        <v>3</v>
      </c>
      <c r="T135" s="68"/>
      <c r="U135" s="2">
        <v>33448</v>
      </c>
      <c r="V135" s="68">
        <f t="shared" ref="V135" si="222">U135-U134</f>
        <v>5</v>
      </c>
      <c r="W135" s="18">
        <f t="shared" ref="W135" si="223">V135*$C$3</f>
        <v>1.5</v>
      </c>
      <c r="X135" s="2">
        <v>12031</v>
      </c>
      <c r="Y135" s="108">
        <f t="shared" ref="Y135" si="224">X135-X134</f>
        <v>1</v>
      </c>
      <c r="Z135" s="18">
        <f t="shared" ref="Z135" si="225">Y135*$C$5*$G$4</f>
        <v>0.97840768094534702</v>
      </c>
      <c r="AA135" s="2">
        <v>836.93</v>
      </c>
      <c r="AB135" s="17">
        <f t="shared" ref="AB135" si="226">AA135-AA134</f>
        <v>0.95999999999992269</v>
      </c>
      <c r="AC135" s="17"/>
      <c r="AD135" s="24">
        <f t="shared" ref="AD135" si="227">C135+E135+G135+I135+K135+M135+AF135</f>
        <v>0.79000000000002224</v>
      </c>
      <c r="AE135" s="25">
        <v>135</v>
      </c>
      <c r="AF135" s="24">
        <f t="shared" si="189"/>
        <v>0.36000000000001364</v>
      </c>
      <c r="AG135" s="2"/>
      <c r="AH135" s="29"/>
    </row>
    <row r="136" spans="1:34" x14ac:dyDescent="0.25">
      <c r="A136" s="5">
        <v>44730</v>
      </c>
      <c r="B136" s="2">
        <v>18.059999999999999</v>
      </c>
      <c r="C136" s="18">
        <f t="shared" si="173"/>
        <v>4.9999999999997158E-2</v>
      </c>
      <c r="D136" s="67">
        <v>5.98</v>
      </c>
      <c r="E136" s="107">
        <f t="shared" si="174"/>
        <v>3.0000000000000249E-2</v>
      </c>
      <c r="F136" s="2">
        <v>63.35</v>
      </c>
      <c r="G136" s="107">
        <f t="shared" si="175"/>
        <v>0.17999999999999972</v>
      </c>
      <c r="H136" s="2">
        <v>2.2400000000000002</v>
      </c>
      <c r="I136" s="18">
        <f t="shared" si="176"/>
        <v>0</v>
      </c>
      <c r="J136" s="2">
        <v>65.510000000000005</v>
      </c>
      <c r="K136" s="20">
        <f t="shared" si="177"/>
        <v>0.15000000000000568</v>
      </c>
      <c r="L136" s="2">
        <v>44.54</v>
      </c>
      <c r="M136" s="18">
        <f t="shared" si="178"/>
        <v>8.9999999999996305E-2</v>
      </c>
      <c r="N136" s="18">
        <f t="shared" si="179"/>
        <v>9.0000000000003411E-2</v>
      </c>
      <c r="O136" s="114">
        <v>68415</v>
      </c>
      <c r="P136" s="17">
        <f t="shared" ref="P136:P137" si="228">O136-O135</f>
        <v>8</v>
      </c>
      <c r="Q136" s="18">
        <f t="shared" ref="Q136:Q137" si="229">P136*$C$2</f>
        <v>2.3176000000000001</v>
      </c>
      <c r="R136" s="114">
        <v>1252</v>
      </c>
      <c r="S136" s="17">
        <f t="shared" ref="S136:S137" si="230">R136-R135</f>
        <v>2</v>
      </c>
      <c r="T136" s="68"/>
      <c r="U136" s="2">
        <v>33450</v>
      </c>
      <c r="V136" s="68">
        <f t="shared" ref="V136:V137" si="231">U136-U135</f>
        <v>2</v>
      </c>
      <c r="W136" s="18">
        <f t="shared" ref="W136:W137" si="232">V136*$C$3</f>
        <v>0.6</v>
      </c>
      <c r="X136" s="2">
        <v>12033</v>
      </c>
      <c r="Y136" s="108">
        <f t="shared" ref="Y136:Y137" si="233">X136-X135</f>
        <v>2</v>
      </c>
      <c r="Z136" s="18">
        <f t="shared" ref="Z136:Z137" si="234">Y136*$C$5*$G$4</f>
        <v>1.956815361890694</v>
      </c>
      <c r="AA136" s="2">
        <v>837.75</v>
      </c>
      <c r="AB136" s="17">
        <f t="shared" ref="AB136:AB137" si="235">AA136-AA135</f>
        <v>0.82000000000005002</v>
      </c>
      <c r="AC136" s="17"/>
      <c r="AD136" s="24">
        <f t="shared" ref="AD136:AD137" si="236">C136+E136+G136+I136+K136+M136+AF136</f>
        <v>0.68000000000000593</v>
      </c>
      <c r="AE136" s="25">
        <v>135.18</v>
      </c>
      <c r="AF136" s="24">
        <f t="shared" si="189"/>
        <v>0.18000000000000682</v>
      </c>
      <c r="AG136" s="2"/>
      <c r="AH136" s="29"/>
    </row>
    <row r="137" spans="1:34" x14ac:dyDescent="0.25">
      <c r="A137" s="5">
        <v>44731</v>
      </c>
      <c r="B137" s="2">
        <v>18.12</v>
      </c>
      <c r="C137" s="18">
        <f t="shared" si="173"/>
        <v>6.0000000000002274E-2</v>
      </c>
      <c r="D137" s="67">
        <v>6</v>
      </c>
      <c r="E137" s="107">
        <f t="shared" si="174"/>
        <v>1.9999999999999574E-2</v>
      </c>
      <c r="F137" s="2">
        <v>63.49</v>
      </c>
      <c r="G137" s="107">
        <f t="shared" si="175"/>
        <v>0.14000000000000057</v>
      </c>
      <c r="H137" s="2">
        <v>2.2400000000000002</v>
      </c>
      <c r="I137" s="18">
        <f t="shared" si="176"/>
        <v>0</v>
      </c>
      <c r="J137" s="2">
        <v>65.680000000000007</v>
      </c>
      <c r="K137" s="20">
        <f t="shared" si="177"/>
        <v>0.17000000000000171</v>
      </c>
      <c r="L137" s="2">
        <v>44.66</v>
      </c>
      <c r="M137" s="18">
        <f t="shared" si="178"/>
        <v>0.11999999999999744</v>
      </c>
      <c r="N137" s="18">
        <f t="shared" si="179"/>
        <v>2.0000000000003126E-2</v>
      </c>
      <c r="O137" s="114">
        <v>68424</v>
      </c>
      <c r="P137" s="17">
        <f t="shared" si="228"/>
        <v>9</v>
      </c>
      <c r="Q137" s="18">
        <f t="shared" si="229"/>
        <v>2.6073</v>
      </c>
      <c r="R137" s="114">
        <v>1256</v>
      </c>
      <c r="S137" s="17">
        <f t="shared" si="230"/>
        <v>4</v>
      </c>
      <c r="T137" s="68"/>
      <c r="U137" s="2">
        <v>33456</v>
      </c>
      <c r="V137" s="68">
        <f t="shared" si="231"/>
        <v>6</v>
      </c>
      <c r="W137" s="18">
        <f t="shared" si="232"/>
        <v>1.7999999999999998</v>
      </c>
      <c r="X137" s="2">
        <v>12034</v>
      </c>
      <c r="Y137" s="108">
        <f t="shared" si="233"/>
        <v>1</v>
      </c>
      <c r="Z137" s="18">
        <f t="shared" si="234"/>
        <v>0.97840768094534702</v>
      </c>
      <c r="AA137" s="2">
        <v>838.62</v>
      </c>
      <c r="AB137" s="17">
        <f t="shared" si="235"/>
        <v>0.87000000000000455</v>
      </c>
      <c r="AC137" s="17"/>
      <c r="AD137" s="24">
        <f t="shared" si="236"/>
        <v>0.63000000000000611</v>
      </c>
      <c r="AE137" s="25">
        <v>135.30000000000001</v>
      </c>
      <c r="AF137" s="24">
        <f t="shared" si="189"/>
        <v>0.12000000000000455</v>
      </c>
      <c r="AG137" s="2"/>
      <c r="AH137" s="29"/>
    </row>
    <row r="138" spans="1:34" x14ac:dyDescent="0.25">
      <c r="A138" s="5">
        <v>44732</v>
      </c>
      <c r="B138" s="2">
        <v>18.16</v>
      </c>
      <c r="C138" s="18">
        <f t="shared" si="173"/>
        <v>3.9999999999999147E-2</v>
      </c>
      <c r="D138" s="67">
        <v>6.09</v>
      </c>
      <c r="E138" s="107">
        <f t="shared" si="174"/>
        <v>8.9999999999999858E-2</v>
      </c>
      <c r="F138" s="2">
        <v>63.82</v>
      </c>
      <c r="G138" s="107">
        <f t="shared" si="175"/>
        <v>0.32999999999999829</v>
      </c>
      <c r="H138" s="2">
        <v>2.2799999999999998</v>
      </c>
      <c r="I138" s="18">
        <f t="shared" si="176"/>
        <v>3.9999999999999591E-2</v>
      </c>
      <c r="J138" s="2">
        <v>65.849999999999994</v>
      </c>
      <c r="K138" s="20">
        <f t="shared" si="177"/>
        <v>0.16999999999998749</v>
      </c>
      <c r="L138" s="2">
        <v>44.78</v>
      </c>
      <c r="M138" s="18">
        <f t="shared" si="178"/>
        <v>0.12000000000000455</v>
      </c>
      <c r="N138" s="18">
        <f t="shared" si="179"/>
        <v>0.20999999999999375</v>
      </c>
      <c r="O138" s="114">
        <v>68432</v>
      </c>
      <c r="P138" s="17">
        <f t="shared" ref="P138" si="237">O138-O137</f>
        <v>8</v>
      </c>
      <c r="Q138" s="18">
        <f t="shared" ref="Q138" si="238">P138*$C$2</f>
        <v>2.3176000000000001</v>
      </c>
      <c r="R138" s="114">
        <v>1260</v>
      </c>
      <c r="S138" s="17">
        <f t="shared" ref="S138" si="239">R138-R137</f>
        <v>4</v>
      </c>
      <c r="T138" s="68"/>
      <c r="U138" s="2">
        <v>33461</v>
      </c>
      <c r="V138" s="68">
        <f t="shared" ref="V138" si="240">U138-U137</f>
        <v>5</v>
      </c>
      <c r="W138" s="18">
        <f t="shared" ref="W138" si="241">V138*$C$3</f>
        <v>1.5</v>
      </c>
      <c r="X138" s="2">
        <v>12037</v>
      </c>
      <c r="Y138" s="108">
        <f t="shared" ref="Y138" si="242">X138-X137</f>
        <v>3</v>
      </c>
      <c r="Z138" s="18">
        <f t="shared" ref="Z138" si="243">Y138*$C$5*$G$4</f>
        <v>2.9352230428360411</v>
      </c>
      <c r="AA138" s="2">
        <v>839.66</v>
      </c>
      <c r="AB138" s="17">
        <f t="shared" ref="AB138" si="244">AA138-AA137</f>
        <v>1.0399999999999636</v>
      </c>
      <c r="AC138" s="17"/>
      <c r="AD138" s="24">
        <f t="shared" ref="AD138" si="245">C138+E138+G138+I138+K138+M138+AF138</f>
        <v>0.78999999999998893</v>
      </c>
      <c r="AE138" s="25">
        <v>135.30000000000001</v>
      </c>
      <c r="AF138" s="24">
        <f t="shared" ref="AF138:AF148" si="246">AE138-AE137</f>
        <v>0</v>
      </c>
      <c r="AG138" s="2"/>
      <c r="AH138" s="29"/>
    </row>
    <row r="139" spans="1:34" x14ac:dyDescent="0.25">
      <c r="A139" s="5">
        <v>44733</v>
      </c>
      <c r="B139" s="2">
        <v>18.22</v>
      </c>
      <c r="C139" s="18">
        <f t="shared" si="173"/>
        <v>5.9999999999998721E-2</v>
      </c>
      <c r="D139" s="67">
        <v>6.1</v>
      </c>
      <c r="E139" s="107">
        <f t="shared" ref="E139:E148" si="247">D139-D138</f>
        <v>9.9999999999997868E-3</v>
      </c>
      <c r="F139" s="2">
        <v>63.97</v>
      </c>
      <c r="G139" s="107">
        <f t="shared" si="175"/>
        <v>0.14999999999999858</v>
      </c>
      <c r="H139" s="2">
        <v>2.29</v>
      </c>
      <c r="I139" s="18">
        <f t="shared" si="176"/>
        <v>1.0000000000000231E-2</v>
      </c>
      <c r="J139" s="2">
        <v>66.010000000000005</v>
      </c>
      <c r="K139" s="20">
        <f t="shared" si="177"/>
        <v>0.1600000000000108</v>
      </c>
      <c r="L139" s="2">
        <v>44.9</v>
      </c>
      <c r="M139" s="18">
        <f t="shared" ref="M139" si="248">L139-L138</f>
        <v>0.11999999999999744</v>
      </c>
      <c r="N139" s="18">
        <f t="shared" ref="N139" si="249">G139-M139</f>
        <v>3.0000000000001137E-2</v>
      </c>
      <c r="O139" s="114">
        <v>68441</v>
      </c>
      <c r="P139" s="17">
        <f t="shared" ref="P139" si="250">O139-O138</f>
        <v>9</v>
      </c>
      <c r="Q139" s="18">
        <f t="shared" ref="Q139" si="251">P139*$C$2</f>
        <v>2.6073</v>
      </c>
      <c r="R139" s="114">
        <v>1264</v>
      </c>
      <c r="S139" s="17">
        <f t="shared" ref="S139" si="252">R139-R138</f>
        <v>4</v>
      </c>
      <c r="T139" s="68"/>
      <c r="U139" s="2">
        <v>33466</v>
      </c>
      <c r="V139" s="68">
        <f t="shared" ref="V139" si="253">U139-U138</f>
        <v>5</v>
      </c>
      <c r="W139" s="18">
        <f t="shared" ref="W139" si="254">V139*$C$3</f>
        <v>1.5</v>
      </c>
      <c r="X139" s="2">
        <v>12038</v>
      </c>
      <c r="Y139" s="108">
        <f t="shared" ref="Y139" si="255">X139-X138</f>
        <v>1</v>
      </c>
      <c r="Z139" s="18">
        <f t="shared" ref="Z139" si="256">Y139*$C$5*$G$4</f>
        <v>0.97840768094534702</v>
      </c>
      <c r="AA139" s="2">
        <v>840.38</v>
      </c>
      <c r="AB139" s="17">
        <f t="shared" ref="AB139" si="257">AA139-AA138</f>
        <v>0.72000000000002728</v>
      </c>
      <c r="AC139" s="17"/>
      <c r="AD139" s="24">
        <f t="shared" ref="AD139:AD146" si="258">C139+E139+G139+I139+K139+M139+AF139</f>
        <v>0.51000000000000556</v>
      </c>
      <c r="AE139" s="25">
        <v>135.30000000000001</v>
      </c>
      <c r="AF139" s="24">
        <f t="shared" si="246"/>
        <v>0</v>
      </c>
      <c r="AG139" s="2"/>
      <c r="AH139" s="29"/>
    </row>
    <row r="140" spans="1:34" x14ac:dyDescent="0.25">
      <c r="A140" s="5">
        <v>44734</v>
      </c>
      <c r="B140" s="2">
        <v>18.260000000000002</v>
      </c>
      <c r="C140" s="18">
        <f t="shared" si="173"/>
        <v>4.00000000000027E-2</v>
      </c>
      <c r="D140" s="67">
        <v>6.13</v>
      </c>
      <c r="E140" s="107">
        <f t="shared" si="247"/>
        <v>3.0000000000000249E-2</v>
      </c>
      <c r="F140" s="2">
        <v>64.150000000000006</v>
      </c>
      <c r="G140" s="107">
        <f t="shared" si="175"/>
        <v>0.18000000000000682</v>
      </c>
      <c r="H140" s="2">
        <v>2.31</v>
      </c>
      <c r="I140" s="18">
        <f t="shared" si="176"/>
        <v>2.0000000000000018E-2</v>
      </c>
      <c r="J140" s="2">
        <v>66.12</v>
      </c>
      <c r="K140" s="20">
        <f t="shared" si="177"/>
        <v>0.10999999999999943</v>
      </c>
      <c r="L140" s="2">
        <v>44.97</v>
      </c>
      <c r="M140" s="18">
        <f t="shared" ref="M140:M142" si="259">L140-L139</f>
        <v>7.0000000000000284E-2</v>
      </c>
      <c r="N140" s="18">
        <f t="shared" ref="N140:N142" si="260">G140-M140</f>
        <v>0.11000000000000654</v>
      </c>
      <c r="O140" s="114">
        <v>68451</v>
      </c>
      <c r="P140" s="17">
        <f t="shared" ref="P140" si="261">O140-O139</f>
        <v>10</v>
      </c>
      <c r="Q140" s="18">
        <f t="shared" ref="Q140" si="262">P140*$C$2</f>
        <v>2.8970000000000002</v>
      </c>
      <c r="R140" s="114">
        <v>1269</v>
      </c>
      <c r="S140" s="17">
        <f t="shared" ref="S140" si="263">R140-R139</f>
        <v>5</v>
      </c>
      <c r="T140" s="68"/>
      <c r="U140" s="2">
        <v>33470</v>
      </c>
      <c r="V140" s="68">
        <f t="shared" ref="V140" si="264">U140-U139</f>
        <v>4</v>
      </c>
      <c r="W140" s="18">
        <f t="shared" ref="W140" si="265">V140*$C$3</f>
        <v>1.2</v>
      </c>
      <c r="X140" s="2">
        <v>12040</v>
      </c>
      <c r="Y140" s="108">
        <f t="shared" ref="Y140" si="266">X140-X139</f>
        <v>2</v>
      </c>
      <c r="Z140" s="18">
        <f t="shared" ref="Z140" si="267">Y140*$C$5*$G$4</f>
        <v>1.956815361890694</v>
      </c>
      <c r="AA140" s="2">
        <v>841.21</v>
      </c>
      <c r="AB140" s="17">
        <f t="shared" ref="AB140" si="268">AA140-AA139</f>
        <v>0.83000000000004093</v>
      </c>
      <c r="AC140" s="17"/>
      <c r="AD140" s="24">
        <f t="shared" si="258"/>
        <v>0.61000000000000609</v>
      </c>
      <c r="AE140" s="25">
        <v>135.46</v>
      </c>
      <c r="AF140" s="24">
        <f t="shared" si="246"/>
        <v>0.15999999999999659</v>
      </c>
      <c r="AG140" s="2"/>
      <c r="AH140" s="29"/>
    </row>
    <row r="141" spans="1:34" x14ac:dyDescent="0.25">
      <c r="A141" s="5">
        <v>44735</v>
      </c>
      <c r="B141" s="2">
        <v>18.329999999999998</v>
      </c>
      <c r="C141" s="18">
        <f t="shared" si="173"/>
        <v>6.9999999999996732E-2</v>
      </c>
      <c r="D141" s="67">
        <v>6.16</v>
      </c>
      <c r="E141" s="107">
        <f t="shared" si="247"/>
        <v>3.0000000000000249E-2</v>
      </c>
      <c r="F141" s="2">
        <v>64.27</v>
      </c>
      <c r="G141" s="107">
        <f t="shared" si="175"/>
        <v>0.11999999999999034</v>
      </c>
      <c r="H141" s="2">
        <v>2.31</v>
      </c>
      <c r="I141" s="18">
        <f t="shared" si="176"/>
        <v>0</v>
      </c>
      <c r="J141" s="2">
        <v>66.27</v>
      </c>
      <c r="K141" s="20">
        <f t="shared" si="177"/>
        <v>0.14999999999999147</v>
      </c>
      <c r="L141" s="2">
        <v>45.05</v>
      </c>
      <c r="M141" s="18">
        <f t="shared" si="259"/>
        <v>7.9999999999998295E-2</v>
      </c>
      <c r="N141" s="18">
        <f t="shared" si="260"/>
        <v>3.9999999999992042E-2</v>
      </c>
      <c r="O141" s="114">
        <v>68460</v>
      </c>
      <c r="P141" s="17">
        <f t="shared" ref="P141" si="269">O141-O140</f>
        <v>9</v>
      </c>
      <c r="Q141" s="18">
        <f t="shared" ref="Q141" si="270">P141*$C$2</f>
        <v>2.6073</v>
      </c>
      <c r="R141" s="114">
        <v>1276</v>
      </c>
      <c r="S141" s="17">
        <f t="shared" ref="S141" si="271">R141-R140</f>
        <v>7</v>
      </c>
      <c r="T141" s="68"/>
      <c r="U141" s="2">
        <v>33476</v>
      </c>
      <c r="V141" s="68">
        <f t="shared" ref="V141" si="272">U141-U140</f>
        <v>6</v>
      </c>
      <c r="W141" s="18">
        <f t="shared" ref="W141" si="273">V141*$C$3</f>
        <v>1.7999999999999998</v>
      </c>
      <c r="X141" s="2">
        <v>12041</v>
      </c>
      <c r="Y141" s="108">
        <f t="shared" ref="Y141" si="274">X141-X140</f>
        <v>1</v>
      </c>
      <c r="Z141" s="18">
        <f t="shared" ref="Z141" si="275">Y141*$C$5*$G$4</f>
        <v>0.97840768094534702</v>
      </c>
      <c r="AA141" s="2">
        <v>842.36</v>
      </c>
      <c r="AB141" s="17">
        <f t="shared" ref="AB141" si="276">AA141-AA140</f>
        <v>1.1499999999999773</v>
      </c>
      <c r="AC141" s="17"/>
      <c r="AD141" s="24">
        <f t="shared" si="258"/>
        <v>0.72999999999997822</v>
      </c>
      <c r="AE141" s="25">
        <v>135.74</v>
      </c>
      <c r="AF141" s="24">
        <f t="shared" si="246"/>
        <v>0.28000000000000114</v>
      </c>
      <c r="AG141" s="2"/>
      <c r="AH141" s="29"/>
    </row>
    <row r="142" spans="1:34" x14ac:dyDescent="0.25">
      <c r="A142" s="5">
        <v>44736</v>
      </c>
      <c r="B142" s="2">
        <v>18.399999999999999</v>
      </c>
      <c r="C142" s="18">
        <f t="shared" si="173"/>
        <v>7.0000000000000284E-2</v>
      </c>
      <c r="D142" s="67">
        <v>6.18</v>
      </c>
      <c r="E142" s="107">
        <f t="shared" si="247"/>
        <v>1.9999999999999574E-2</v>
      </c>
      <c r="F142" s="2">
        <v>64.430000000000007</v>
      </c>
      <c r="G142" s="107">
        <f t="shared" si="175"/>
        <v>0.1600000000000108</v>
      </c>
      <c r="H142" s="2">
        <v>2.31</v>
      </c>
      <c r="I142" s="18">
        <f t="shared" si="176"/>
        <v>0</v>
      </c>
      <c r="J142" s="2">
        <v>66.39</v>
      </c>
      <c r="K142" s="20">
        <f t="shared" si="177"/>
        <v>0.12000000000000455</v>
      </c>
      <c r="L142" s="2">
        <v>45.15</v>
      </c>
      <c r="M142" s="18">
        <f t="shared" si="259"/>
        <v>0.10000000000000142</v>
      </c>
      <c r="N142" s="18">
        <f t="shared" si="260"/>
        <v>6.0000000000009379E-2</v>
      </c>
      <c r="O142" s="114">
        <v>68467</v>
      </c>
      <c r="P142" s="17">
        <f t="shared" ref="P142" si="277">O142-O141</f>
        <v>7</v>
      </c>
      <c r="Q142" s="18">
        <f t="shared" ref="Q142" si="278">P142*$C$2</f>
        <v>2.0279000000000003</v>
      </c>
      <c r="R142" s="114">
        <v>1279</v>
      </c>
      <c r="S142" s="17">
        <f t="shared" ref="S142" si="279">R142-R141</f>
        <v>3</v>
      </c>
      <c r="T142" s="68"/>
      <c r="U142" s="2">
        <v>33481</v>
      </c>
      <c r="V142" s="68">
        <f t="shared" ref="V142" si="280">U142-U141</f>
        <v>5</v>
      </c>
      <c r="W142" s="18">
        <f t="shared" ref="W142" si="281">V142*$C$3</f>
        <v>1.5</v>
      </c>
      <c r="X142" s="2">
        <v>12043</v>
      </c>
      <c r="Y142" s="108">
        <f t="shared" ref="Y142" si="282">X142-X141</f>
        <v>2</v>
      </c>
      <c r="Z142" s="18">
        <f t="shared" ref="Z142" si="283">Y142*$C$5*$G$4</f>
        <v>1.956815361890694</v>
      </c>
      <c r="AA142" s="2">
        <v>843.29</v>
      </c>
      <c r="AB142" s="17">
        <f t="shared" ref="AB142" si="284">AA142-AA141</f>
        <v>0.92999999999994998</v>
      </c>
      <c r="AC142" s="17"/>
      <c r="AD142" s="24">
        <f t="shared" si="258"/>
        <v>0.64999999999999503</v>
      </c>
      <c r="AE142" s="25">
        <v>135.91999999999999</v>
      </c>
      <c r="AF142" s="24">
        <f t="shared" si="246"/>
        <v>0.1799999999999784</v>
      </c>
      <c r="AG142" s="2"/>
      <c r="AH142" s="29"/>
    </row>
    <row r="143" spans="1:34" x14ac:dyDescent="0.25">
      <c r="A143" s="5">
        <v>44737</v>
      </c>
      <c r="B143" s="2">
        <v>18.45</v>
      </c>
      <c r="C143" s="18">
        <f t="shared" si="173"/>
        <v>5.0000000000000711E-2</v>
      </c>
      <c r="D143" s="67">
        <v>6.2</v>
      </c>
      <c r="E143" s="107">
        <f t="shared" si="247"/>
        <v>2.0000000000000462E-2</v>
      </c>
      <c r="F143" s="2">
        <v>64.680000000000007</v>
      </c>
      <c r="G143" s="107">
        <f t="shared" si="175"/>
        <v>0.25</v>
      </c>
      <c r="H143" s="2">
        <v>2.3199999999999998</v>
      </c>
      <c r="I143" s="18">
        <f t="shared" si="176"/>
        <v>9.9999999999997868E-3</v>
      </c>
      <c r="J143" s="2">
        <v>66.599999999999994</v>
      </c>
      <c r="K143" s="20">
        <f t="shared" si="177"/>
        <v>0.20999999999999375</v>
      </c>
      <c r="L143" s="2">
        <v>45.3</v>
      </c>
      <c r="M143" s="18">
        <f t="shared" ref="M143:M144" si="285">L143-L142</f>
        <v>0.14999999999999858</v>
      </c>
      <c r="N143" s="18">
        <f t="shared" ref="N143:N144" si="286">G143-M143</f>
        <v>0.10000000000000142</v>
      </c>
      <c r="O143" s="114">
        <v>68475</v>
      </c>
      <c r="P143" s="17">
        <f t="shared" ref="P143" si="287">O143-O142</f>
        <v>8</v>
      </c>
      <c r="Q143" s="18">
        <f t="shared" ref="Q143" si="288">P143*$C$2</f>
        <v>2.3176000000000001</v>
      </c>
      <c r="R143" s="114">
        <v>1283</v>
      </c>
      <c r="S143" s="17">
        <f t="shared" ref="S143" si="289">R143-R142</f>
        <v>4</v>
      </c>
      <c r="T143" s="68"/>
      <c r="U143" s="2">
        <v>33487</v>
      </c>
      <c r="V143" s="68">
        <f t="shared" ref="V143" si="290">U143-U142</f>
        <v>6</v>
      </c>
      <c r="W143" s="18">
        <f t="shared" ref="W143" si="291">V143*$C$3</f>
        <v>1.7999999999999998</v>
      </c>
      <c r="X143" s="2">
        <v>12044</v>
      </c>
      <c r="Y143" s="108">
        <f t="shared" ref="Y143" si="292">X143-X142</f>
        <v>1</v>
      </c>
      <c r="Z143" s="18">
        <f t="shared" ref="Z143" si="293">Y143*$C$5*$G$4</f>
        <v>0.97840768094534702</v>
      </c>
      <c r="AA143" s="2">
        <v>844.3</v>
      </c>
      <c r="AB143" s="17">
        <f t="shared" ref="AB143" si="294">AA143-AA142</f>
        <v>1.0099999999999909</v>
      </c>
      <c r="AC143" s="17"/>
      <c r="AD143" s="24">
        <f t="shared" si="258"/>
        <v>0.87000000000000011</v>
      </c>
      <c r="AE143" s="25">
        <v>136.1</v>
      </c>
      <c r="AF143" s="24">
        <f t="shared" si="246"/>
        <v>0.18000000000000682</v>
      </c>
      <c r="AG143" s="2"/>
      <c r="AH143" s="29"/>
    </row>
    <row r="144" spans="1:34" x14ac:dyDescent="0.25">
      <c r="A144" s="5">
        <v>44738</v>
      </c>
      <c r="B144" s="2">
        <v>18.510000000000002</v>
      </c>
      <c r="C144" s="18">
        <f t="shared" si="173"/>
        <v>6.0000000000002274E-2</v>
      </c>
      <c r="D144" s="67">
        <v>6.2</v>
      </c>
      <c r="E144" s="107">
        <f t="shared" si="247"/>
        <v>0</v>
      </c>
      <c r="F144" s="2">
        <v>64.819999999999993</v>
      </c>
      <c r="G144" s="107">
        <f t="shared" si="175"/>
        <v>0.13999999999998636</v>
      </c>
      <c r="H144" s="2">
        <v>2.3199999999999998</v>
      </c>
      <c r="I144" s="18">
        <f t="shared" si="176"/>
        <v>0</v>
      </c>
      <c r="J144" s="2">
        <v>66.790000000000006</v>
      </c>
      <c r="K144" s="20">
        <f t="shared" si="177"/>
        <v>0.19000000000001194</v>
      </c>
      <c r="L144" s="2">
        <v>45.44</v>
      </c>
      <c r="M144" s="18">
        <f t="shared" si="285"/>
        <v>0.14000000000000057</v>
      </c>
      <c r="N144" s="18">
        <f t="shared" si="286"/>
        <v>-1.4210854715202004E-14</v>
      </c>
      <c r="O144" s="114">
        <v>68481</v>
      </c>
      <c r="P144" s="17">
        <f t="shared" ref="P144" si="295">O144-O143</f>
        <v>6</v>
      </c>
      <c r="Q144" s="18">
        <f t="shared" ref="Q144" si="296">P144*$C$2</f>
        <v>1.7382</v>
      </c>
      <c r="R144" s="114">
        <v>1286</v>
      </c>
      <c r="S144" s="17">
        <f t="shared" ref="S144" si="297">R144-R143</f>
        <v>3</v>
      </c>
      <c r="T144" s="68"/>
      <c r="U144" s="2">
        <v>33490</v>
      </c>
      <c r="V144" s="68">
        <f t="shared" ref="V144" si="298">U144-U143</f>
        <v>3</v>
      </c>
      <c r="W144" s="18">
        <f t="shared" ref="W144" si="299">V144*$C$3</f>
        <v>0.89999999999999991</v>
      </c>
      <c r="X144" s="2">
        <v>12045</v>
      </c>
      <c r="Y144" s="108">
        <f t="shared" ref="Y144" si="300">X144-X143</f>
        <v>1</v>
      </c>
      <c r="Z144" s="18">
        <f t="shared" ref="Z144" si="301">Y144*$C$5*$G$4</f>
        <v>0.97840768094534702</v>
      </c>
      <c r="AA144" s="2">
        <v>844.87</v>
      </c>
      <c r="AB144" s="17">
        <f t="shared" ref="AB144" si="302">AA144-AA143</f>
        <v>0.57000000000005002</v>
      </c>
      <c r="AC144" s="17"/>
      <c r="AD144" s="24">
        <f t="shared" si="258"/>
        <v>0.53000000000000114</v>
      </c>
      <c r="AE144" s="25">
        <v>136.1</v>
      </c>
      <c r="AF144" s="24">
        <f t="shared" si="246"/>
        <v>0</v>
      </c>
      <c r="AG144" s="2"/>
      <c r="AH144" s="29"/>
    </row>
    <row r="145" spans="1:34" x14ac:dyDescent="0.25">
      <c r="A145" s="5">
        <v>44739</v>
      </c>
      <c r="B145" s="2">
        <v>18.54</v>
      </c>
      <c r="C145" s="18">
        <f t="shared" si="173"/>
        <v>2.9999999999997584E-2</v>
      </c>
      <c r="D145" s="67">
        <v>6.21</v>
      </c>
      <c r="E145" s="107">
        <f t="shared" si="247"/>
        <v>9.9999999999997868E-3</v>
      </c>
      <c r="F145" s="2">
        <v>65.09</v>
      </c>
      <c r="G145" s="107">
        <f t="shared" si="175"/>
        <v>0.27000000000001023</v>
      </c>
      <c r="H145" s="2">
        <v>2.3199999999999998</v>
      </c>
      <c r="I145" s="18">
        <f t="shared" si="176"/>
        <v>0</v>
      </c>
      <c r="J145" s="2">
        <v>66.97</v>
      </c>
      <c r="K145" s="20">
        <f t="shared" si="177"/>
        <v>0.17999999999999261</v>
      </c>
      <c r="L145" s="2">
        <v>45.59</v>
      </c>
      <c r="M145" s="18">
        <f t="shared" ref="M145" si="303">L145-L144</f>
        <v>0.15000000000000568</v>
      </c>
      <c r="N145" s="18">
        <f t="shared" ref="N145" si="304">G145-M145</f>
        <v>0.12000000000000455</v>
      </c>
      <c r="O145" s="114">
        <v>68494</v>
      </c>
      <c r="P145" s="17">
        <f t="shared" ref="P145" si="305">O145-O144</f>
        <v>13</v>
      </c>
      <c r="Q145" s="18">
        <f t="shared" ref="Q145" si="306">P145*$C$2</f>
        <v>3.7661000000000002</v>
      </c>
      <c r="R145" s="114">
        <v>1289</v>
      </c>
      <c r="S145" s="17">
        <f t="shared" ref="S145" si="307">R145-R144</f>
        <v>3</v>
      </c>
      <c r="T145" s="68"/>
      <c r="U145" s="2">
        <v>33495</v>
      </c>
      <c r="V145" s="68">
        <f t="shared" ref="V145" si="308">U145-U144</f>
        <v>5</v>
      </c>
      <c r="W145" s="18">
        <f t="shared" ref="W145" si="309">V145*$C$3</f>
        <v>1.5</v>
      </c>
      <c r="X145" s="2">
        <v>12047</v>
      </c>
      <c r="Y145" s="108">
        <f t="shared" ref="Y145" si="310">X145-X144</f>
        <v>2</v>
      </c>
      <c r="Z145" s="18">
        <f t="shared" ref="Z145" si="311">Y145*$C$5*$G$4</f>
        <v>1.956815361890694</v>
      </c>
      <c r="AA145" s="2">
        <v>845.78</v>
      </c>
      <c r="AB145" s="17">
        <f t="shared" ref="AB145" si="312">AA145-AA144</f>
        <v>0.90999999999996817</v>
      </c>
      <c r="AC145" s="17"/>
      <c r="AD145" s="24">
        <f t="shared" si="258"/>
        <v>0.6400000000000059</v>
      </c>
      <c r="AE145" s="25">
        <v>136.1</v>
      </c>
      <c r="AF145" s="24">
        <f t="shared" si="246"/>
        <v>0</v>
      </c>
      <c r="AG145" s="2"/>
      <c r="AH145" s="29"/>
    </row>
    <row r="146" spans="1:34" x14ac:dyDescent="0.25">
      <c r="A146" s="5">
        <v>44740</v>
      </c>
      <c r="B146" s="2">
        <v>18.61</v>
      </c>
      <c r="C146" s="18">
        <f t="shared" si="173"/>
        <v>7.0000000000000284E-2</v>
      </c>
      <c r="D146" s="67">
        <v>6.28</v>
      </c>
      <c r="E146" s="107">
        <f t="shared" si="247"/>
        <v>7.0000000000000284E-2</v>
      </c>
      <c r="F146" s="2">
        <v>65.25</v>
      </c>
      <c r="G146" s="107">
        <f t="shared" si="175"/>
        <v>0.15999999999999659</v>
      </c>
      <c r="H146" s="2">
        <v>2.34</v>
      </c>
      <c r="I146" s="18">
        <f t="shared" si="176"/>
        <v>2.0000000000000018E-2</v>
      </c>
      <c r="J146" s="2">
        <v>67.14</v>
      </c>
      <c r="K146" s="20">
        <f t="shared" si="177"/>
        <v>0.17000000000000171</v>
      </c>
      <c r="L146" s="2">
        <v>45.7</v>
      </c>
      <c r="M146" s="18">
        <f t="shared" ref="M146:M147" si="313">L146-L145</f>
        <v>0.10999999999999943</v>
      </c>
      <c r="N146" s="18">
        <f t="shared" ref="N146:N147" si="314">G146-M146</f>
        <v>4.9999999999997158E-2</v>
      </c>
      <c r="O146" s="114">
        <v>68504</v>
      </c>
      <c r="P146" s="17">
        <f t="shared" ref="P146" si="315">O146-O145</f>
        <v>10</v>
      </c>
      <c r="Q146" s="18">
        <f t="shared" ref="Q146" si="316">P146*$C$2</f>
        <v>2.8970000000000002</v>
      </c>
      <c r="R146" s="114">
        <v>1297</v>
      </c>
      <c r="S146" s="17">
        <f t="shared" ref="S146" si="317">R146-R145</f>
        <v>8</v>
      </c>
      <c r="T146" s="68"/>
      <c r="U146" s="2">
        <v>33498</v>
      </c>
      <c r="V146" s="68">
        <f t="shared" ref="V146" si="318">U146-U145</f>
        <v>3</v>
      </c>
      <c r="W146" s="18">
        <f t="shared" ref="W146" si="319">V146*$C$3</f>
        <v>0.89999999999999991</v>
      </c>
      <c r="X146" s="2">
        <v>12048</v>
      </c>
      <c r="Y146" s="108">
        <f t="shared" ref="Y146" si="320">X146-X145</f>
        <v>1</v>
      </c>
      <c r="Z146" s="18">
        <f t="shared" ref="Z146" si="321">Y146*$C$5*$G$4</f>
        <v>0.97840768094534702</v>
      </c>
      <c r="AA146" s="2">
        <v>846.75</v>
      </c>
      <c r="AB146" s="17">
        <f t="shared" ref="AB146" si="322">AA146-AA145</f>
        <v>0.97000000000002728</v>
      </c>
      <c r="AC146" s="17"/>
      <c r="AD146" s="24">
        <f t="shared" si="258"/>
        <v>1.2700000000000142</v>
      </c>
      <c r="AE146" s="25">
        <v>136.77000000000001</v>
      </c>
      <c r="AF146" s="24">
        <f t="shared" si="246"/>
        <v>0.67000000000001592</v>
      </c>
      <c r="AG146" s="2"/>
      <c r="AH146" s="29"/>
    </row>
    <row r="147" spans="1:34" x14ac:dyDescent="0.25">
      <c r="A147" s="5">
        <v>44741</v>
      </c>
      <c r="B147" s="2">
        <v>18.670000000000002</v>
      </c>
      <c r="C147" s="18">
        <f t="shared" si="173"/>
        <v>6.0000000000002274E-2</v>
      </c>
      <c r="D147" s="67">
        <v>6.3</v>
      </c>
      <c r="E147" s="107">
        <f t="shared" si="247"/>
        <v>1.9999999999999574E-2</v>
      </c>
      <c r="F147" s="2">
        <v>65.430000000000007</v>
      </c>
      <c r="G147" s="107">
        <f t="shared" si="175"/>
        <v>0.18000000000000682</v>
      </c>
      <c r="H147" s="2">
        <v>2.34</v>
      </c>
      <c r="I147" s="18">
        <f t="shared" si="176"/>
        <v>0</v>
      </c>
      <c r="J147" s="2">
        <v>67.25</v>
      </c>
      <c r="K147" s="20">
        <f t="shared" si="177"/>
        <v>0.10999999999999943</v>
      </c>
      <c r="L147" s="2">
        <v>45.79</v>
      </c>
      <c r="M147" s="18">
        <f t="shared" si="313"/>
        <v>8.9999999999996305E-2</v>
      </c>
      <c r="N147" s="18">
        <f t="shared" si="314"/>
        <v>9.0000000000010516E-2</v>
      </c>
      <c r="O147" s="114">
        <v>68512</v>
      </c>
      <c r="P147" s="17">
        <f t="shared" ref="P147" si="323">O147-O146</f>
        <v>8</v>
      </c>
      <c r="Q147" s="18">
        <f t="shared" ref="Q147" si="324">P147*$C$2</f>
        <v>2.3176000000000001</v>
      </c>
      <c r="R147" s="114">
        <v>1301</v>
      </c>
      <c r="S147" s="17">
        <f t="shared" ref="S147" si="325">R147-R146</f>
        <v>4</v>
      </c>
      <c r="T147" s="68"/>
      <c r="U147" s="2">
        <v>33502</v>
      </c>
      <c r="V147" s="68">
        <f t="shared" ref="V147" si="326">U147-U146</f>
        <v>4</v>
      </c>
      <c r="W147" s="18">
        <f t="shared" ref="W147" si="327">V147*$C$3</f>
        <v>1.2</v>
      </c>
      <c r="X147" s="2">
        <v>12049</v>
      </c>
      <c r="Y147" s="108">
        <f t="shared" ref="Y147" si="328">X147-X146</f>
        <v>1</v>
      </c>
      <c r="Z147" s="18">
        <f t="shared" ref="Z147" si="329">Y147*$C$5*$G$4</f>
        <v>0.97840768094534702</v>
      </c>
      <c r="AA147" s="2">
        <v>847.46</v>
      </c>
      <c r="AB147" s="17">
        <f t="shared" ref="AB147" si="330">AA147-AA146</f>
        <v>0.71000000000003638</v>
      </c>
      <c r="AC147" s="17"/>
      <c r="AD147" s="24">
        <f t="shared" ref="AD147" si="331">C147+E147+G147+I147+K147+M147+AF147</f>
        <v>0.49000000000000554</v>
      </c>
      <c r="AE147" s="25">
        <v>136.80000000000001</v>
      </c>
      <c r="AF147" s="24">
        <f t="shared" si="246"/>
        <v>3.0000000000001137E-2</v>
      </c>
      <c r="AG147" s="2"/>
      <c r="AH147" s="29"/>
    </row>
    <row r="148" spans="1:34" x14ac:dyDescent="0.25">
      <c r="A148" s="5">
        <v>44742</v>
      </c>
      <c r="B148" s="2">
        <v>18.72</v>
      </c>
      <c r="C148" s="18">
        <f t="shared" si="173"/>
        <v>4.9999999999997158E-2</v>
      </c>
      <c r="D148" s="67">
        <v>6.31</v>
      </c>
      <c r="E148" s="107">
        <f t="shared" si="247"/>
        <v>9.9999999999997868E-3</v>
      </c>
      <c r="F148" s="2">
        <v>65.56</v>
      </c>
      <c r="G148" s="107">
        <f t="shared" si="175"/>
        <v>0.12999999999999545</v>
      </c>
      <c r="H148" s="2">
        <v>2.34</v>
      </c>
      <c r="I148" s="18">
        <f t="shared" si="176"/>
        <v>0</v>
      </c>
      <c r="J148" s="2">
        <v>67.55</v>
      </c>
      <c r="K148" s="20">
        <f t="shared" si="177"/>
        <v>0.29999999999999716</v>
      </c>
      <c r="L148" s="2">
        <v>45.89</v>
      </c>
      <c r="M148" s="18">
        <f t="shared" ref="M148" si="332">L148-L147</f>
        <v>0.10000000000000142</v>
      </c>
      <c r="N148" s="18">
        <f t="shared" ref="N148" si="333">G148-M148</f>
        <v>2.9999999999994031E-2</v>
      </c>
      <c r="O148" s="114">
        <v>68523</v>
      </c>
      <c r="P148" s="17">
        <f t="shared" ref="P148" si="334">O148-O147</f>
        <v>11</v>
      </c>
      <c r="Q148" s="18">
        <f t="shared" ref="Q148" si="335">P148*$C$2</f>
        <v>3.1867000000000001</v>
      </c>
      <c r="R148" s="114">
        <v>1303</v>
      </c>
      <c r="S148" s="17">
        <f t="shared" ref="S148" si="336">R148-R147</f>
        <v>2</v>
      </c>
      <c r="T148" s="68"/>
      <c r="U148" s="2">
        <v>33508</v>
      </c>
      <c r="V148" s="68">
        <f t="shared" ref="V148" si="337">U148-U147</f>
        <v>6</v>
      </c>
      <c r="W148" s="18">
        <f t="shared" ref="W148" si="338">V148*$C$3</f>
        <v>1.7999999999999998</v>
      </c>
      <c r="X148" s="2">
        <v>12050</v>
      </c>
      <c r="Y148" s="108">
        <f t="shared" ref="Y148" si="339">X148-X147</f>
        <v>1</v>
      </c>
      <c r="Z148" s="18">
        <f t="shared" ref="Z148" si="340">Y148*$C$5*$G$4</f>
        <v>0.97840768094534702</v>
      </c>
      <c r="AA148" s="2">
        <v>848.5</v>
      </c>
      <c r="AB148" s="17">
        <f t="shared" ref="AB148" si="341">AA148-AA147</f>
        <v>1.0399999999999636</v>
      </c>
      <c r="AC148" s="17"/>
      <c r="AD148" s="24">
        <f t="shared" ref="AD148" si="342">C148+E148+G148+I148+K148+M148+AF148</f>
        <v>0.58999999999999098</v>
      </c>
      <c r="AE148" s="25">
        <v>136.80000000000001</v>
      </c>
      <c r="AF148" s="24">
        <f t="shared" si="246"/>
        <v>0</v>
      </c>
      <c r="AG148" s="2"/>
      <c r="AH148" s="29"/>
    </row>
    <row r="149" spans="1:34" x14ac:dyDescent="0.25">
      <c r="A149" s="32" t="s">
        <v>115</v>
      </c>
      <c r="B149" s="66"/>
      <c r="C149" s="34">
        <f>SUM(C119:C148)</f>
        <v>1.651428571428571</v>
      </c>
      <c r="D149" s="61"/>
      <c r="E149" s="66">
        <f t="shared" ref="E149:K149" si="343">SUM(E119:E148)</f>
        <v>0.94428571428571351</v>
      </c>
      <c r="F149" s="61"/>
      <c r="G149" s="66">
        <f t="shared" si="343"/>
        <v>5.3500000000000005</v>
      </c>
      <c r="H149" s="61"/>
      <c r="I149" s="34">
        <f t="shared" si="343"/>
        <v>1.1071428571428572</v>
      </c>
      <c r="J149" s="61"/>
      <c r="K149" s="66">
        <f t="shared" si="343"/>
        <v>3.8257142857142834</v>
      </c>
      <c r="L149" s="61"/>
      <c r="M149" s="66">
        <f>SUM(M119:M148)</f>
        <v>2.6542857142857121</v>
      </c>
      <c r="N149" s="34">
        <f>SUM(N119:N148)</f>
        <v>2.6957142857142884</v>
      </c>
      <c r="O149" s="116"/>
      <c r="P149" s="33">
        <f>SUM(P119:P148)</f>
        <v>242</v>
      </c>
      <c r="Q149" s="109">
        <f>SUM(Q119:Q148)</f>
        <v>70.107399999999998</v>
      </c>
      <c r="R149" s="116" t="s">
        <v>63</v>
      </c>
      <c r="S149" s="34">
        <f>SUM(S119:S148)</f>
        <v>127.14285714285714</v>
      </c>
      <c r="T149" s="34"/>
      <c r="U149" s="34"/>
      <c r="V149" s="34">
        <f>SUM(V119:V148)</f>
        <v>159.85714285714286</v>
      </c>
      <c r="W149" s="109">
        <f>SUM(W119:W148)</f>
        <v>47.957142857142848</v>
      </c>
      <c r="X149" s="34"/>
      <c r="Y149" s="129">
        <f>SUM(Y119:Y148)</f>
        <v>59</v>
      </c>
      <c r="Z149" s="109">
        <f>SUM(Z119:Z148)</f>
        <v>57.726053175775455</v>
      </c>
      <c r="AA149" s="34"/>
      <c r="AB149" s="61">
        <f>SUM(AB119:AB148)</f>
        <v>25.361428571428593</v>
      </c>
      <c r="AC149" s="34"/>
      <c r="AD149" s="34"/>
      <c r="AE149" s="61"/>
      <c r="AF149" s="34"/>
      <c r="AG149" s="34"/>
      <c r="AH149" s="29"/>
    </row>
    <row r="150" spans="1:34" x14ac:dyDescent="0.25">
      <c r="A150" s="5">
        <v>44743</v>
      </c>
      <c r="B150" s="2">
        <v>18.77</v>
      </c>
      <c r="C150" s="18">
        <f>B150-B148</f>
        <v>5.0000000000000711E-2</v>
      </c>
      <c r="D150" s="67">
        <v>6.36</v>
      </c>
      <c r="E150" s="107">
        <f>D150-D148</f>
        <v>5.0000000000000711E-2</v>
      </c>
      <c r="F150" s="2">
        <v>65.88</v>
      </c>
      <c r="G150" s="107">
        <f>F150-F148</f>
        <v>0.31999999999999318</v>
      </c>
      <c r="H150" s="2">
        <v>2.35</v>
      </c>
      <c r="I150" s="107">
        <f>H150-H148</f>
        <v>1.0000000000000231E-2</v>
      </c>
      <c r="J150" s="2">
        <v>68.11</v>
      </c>
      <c r="K150" s="18">
        <f>J150-J148</f>
        <v>0.56000000000000227</v>
      </c>
      <c r="L150" s="2">
        <v>46.13</v>
      </c>
      <c r="M150" s="18">
        <f>L150-L148</f>
        <v>0.24000000000000199</v>
      </c>
      <c r="N150" s="18">
        <f>G150-M150</f>
        <v>7.9999999999991189E-2</v>
      </c>
      <c r="O150" s="114">
        <v>68533</v>
      </c>
      <c r="P150" s="17">
        <f>O150-O148</f>
        <v>10</v>
      </c>
      <c r="Q150" s="18">
        <f>P150*$C$2</f>
        <v>2.8970000000000002</v>
      </c>
      <c r="R150" s="114">
        <v>1307</v>
      </c>
      <c r="S150" s="17">
        <f>R150-R148</f>
        <v>4</v>
      </c>
      <c r="T150" s="17"/>
      <c r="U150" s="2">
        <v>33512</v>
      </c>
      <c r="V150" s="17">
        <f>U150-U148</f>
        <v>4</v>
      </c>
      <c r="W150" s="18">
        <f>V150*$C$3</f>
        <v>1.2</v>
      </c>
      <c r="X150" s="2">
        <v>12052</v>
      </c>
      <c r="Y150" s="108">
        <f>X150-X148</f>
        <v>2</v>
      </c>
      <c r="Z150" s="18">
        <f>Y150*$C$5*$G$4</f>
        <v>1.956815361890694</v>
      </c>
      <c r="AA150" s="2">
        <v>850.09</v>
      </c>
      <c r="AB150" s="17">
        <f>AA150-AA148</f>
        <v>1.5900000000000318</v>
      </c>
      <c r="AC150" s="17"/>
      <c r="AD150" s="24">
        <f>C150+E150+G150+I150+K150+M150+AF150</f>
        <v>1.2299999999999991</v>
      </c>
      <c r="AE150" s="25">
        <v>136.80000000000001</v>
      </c>
      <c r="AF150" s="24">
        <f>AE150-AE148</f>
        <v>0</v>
      </c>
      <c r="AG150" s="2"/>
      <c r="AH150" s="29"/>
    </row>
    <row r="151" spans="1:34" x14ac:dyDescent="0.25">
      <c r="A151" s="5">
        <v>44744</v>
      </c>
      <c r="B151" s="2" t="s">
        <v>98</v>
      </c>
      <c r="C151" s="18">
        <f t="shared" ref="C151:C153" si="344">($B$154-$B$150)/4</f>
        <v>6.0000000000000497E-2</v>
      </c>
      <c r="D151" s="2" t="s">
        <v>98</v>
      </c>
      <c r="E151" s="107">
        <f t="shared" ref="E151:E153" si="345">($D$154-$D$150)/4</f>
        <v>3.0000000000000027E-2</v>
      </c>
      <c r="F151" s="2" t="s">
        <v>98</v>
      </c>
      <c r="G151" s="107">
        <f t="shared" ref="G151:G153" si="346">($F$154-$F$150)/4</f>
        <v>0.12000000000000099</v>
      </c>
      <c r="H151" s="2" t="s">
        <v>98</v>
      </c>
      <c r="I151" s="107">
        <f t="shared" ref="I151:I153" si="347">($H$154-$H$150)/4</f>
        <v>2.4999999999999467E-3</v>
      </c>
      <c r="J151" s="2" t="s">
        <v>98</v>
      </c>
      <c r="K151" s="18">
        <f t="shared" ref="K151:K153" si="348">($J$154-$J$150)/4</f>
        <v>9.2500000000001137E-2</v>
      </c>
      <c r="L151" s="2">
        <v>46.2</v>
      </c>
      <c r="M151" s="18">
        <f t="shared" ref="M151:M159" si="349">L151-L150</f>
        <v>7.0000000000000284E-2</v>
      </c>
      <c r="N151" s="18">
        <f t="shared" ref="N151:N154" si="350">G151-M151</f>
        <v>5.0000000000000711E-2</v>
      </c>
      <c r="O151" s="114" t="s">
        <v>98</v>
      </c>
      <c r="P151" s="17">
        <f t="shared" ref="P151:P153" si="351">($O$154-$O$150)/4</f>
        <v>6</v>
      </c>
      <c r="Q151" s="18">
        <f t="shared" ref="Q151:Q157" si="352">P151*$C$2</f>
        <v>1.7382</v>
      </c>
      <c r="R151" s="114" t="s">
        <v>98</v>
      </c>
      <c r="S151" s="17">
        <f t="shared" ref="S151:S153" si="353">($R$154-$R$150)/4</f>
        <v>3.75</v>
      </c>
      <c r="T151" s="17"/>
      <c r="U151" s="2" t="s">
        <v>98</v>
      </c>
      <c r="V151" s="17">
        <f t="shared" ref="V151:V153" si="354">($U$154-$U$150)/4</f>
        <v>5.25</v>
      </c>
      <c r="W151" s="18">
        <f t="shared" ref="W151:W157" si="355">V151*$C$3</f>
        <v>1.575</v>
      </c>
      <c r="X151" s="2" t="s">
        <v>98</v>
      </c>
      <c r="Y151" s="108">
        <f t="shared" ref="Y151:Y153" si="356">($X$154-$X$150)/4</f>
        <v>1</v>
      </c>
      <c r="Z151" s="18">
        <f t="shared" ref="Z151:Z157" si="357">Y151*$C$5*$G$4</f>
        <v>0.97840768094534702</v>
      </c>
      <c r="AA151" s="2" t="s">
        <v>98</v>
      </c>
      <c r="AB151" s="17">
        <f t="shared" ref="AB151:AB153" si="358">($AA$154-$AA$150)/4</f>
        <v>0.65500000000000114</v>
      </c>
      <c r="AC151" s="17" t="s">
        <v>63</v>
      </c>
      <c r="AD151" s="24">
        <f t="shared" ref="AD151:AD156" si="359">C151+E151+G151+I151+K151+M151+AF151</f>
        <v>0.38749999999999862</v>
      </c>
      <c r="AE151" s="2" t="s">
        <v>98</v>
      </c>
      <c r="AF151" s="17">
        <f t="shared" ref="AF151:AF153" si="360">($AE$154-$AE$150)/4</f>
        <v>1.2499999999995737E-2</v>
      </c>
      <c r="AG151" s="2"/>
      <c r="AH151" s="29"/>
    </row>
    <row r="152" spans="1:34" x14ac:dyDescent="0.25">
      <c r="A152" s="5">
        <v>44745</v>
      </c>
      <c r="B152" s="2" t="s">
        <v>98</v>
      </c>
      <c r="C152" s="18">
        <f t="shared" si="344"/>
        <v>6.0000000000000497E-2</v>
      </c>
      <c r="D152" s="2" t="s">
        <v>98</v>
      </c>
      <c r="E152" s="107">
        <f t="shared" si="345"/>
        <v>3.0000000000000027E-2</v>
      </c>
      <c r="F152" s="2" t="s">
        <v>98</v>
      </c>
      <c r="G152" s="107">
        <f t="shared" si="346"/>
        <v>0.12000000000000099</v>
      </c>
      <c r="H152" s="2" t="s">
        <v>98</v>
      </c>
      <c r="I152" s="107">
        <f t="shared" si="347"/>
        <v>2.4999999999999467E-3</v>
      </c>
      <c r="J152" s="2" t="s">
        <v>98</v>
      </c>
      <c r="K152" s="18">
        <f t="shared" si="348"/>
        <v>9.2500000000001137E-2</v>
      </c>
      <c r="L152" s="2">
        <v>46.28</v>
      </c>
      <c r="M152" s="18">
        <f t="shared" si="349"/>
        <v>7.9999999999998295E-2</v>
      </c>
      <c r="N152" s="18">
        <f t="shared" si="350"/>
        <v>4.00000000000027E-2</v>
      </c>
      <c r="O152" s="114" t="s">
        <v>98</v>
      </c>
      <c r="P152" s="17">
        <f t="shared" si="351"/>
        <v>6</v>
      </c>
      <c r="Q152" s="18">
        <f t="shared" si="352"/>
        <v>1.7382</v>
      </c>
      <c r="R152" s="114" t="s">
        <v>98</v>
      </c>
      <c r="S152" s="17">
        <f t="shared" si="353"/>
        <v>3.75</v>
      </c>
      <c r="T152" s="17"/>
      <c r="U152" s="2" t="s">
        <v>98</v>
      </c>
      <c r="V152" s="17">
        <f t="shared" si="354"/>
        <v>5.25</v>
      </c>
      <c r="W152" s="18">
        <f t="shared" si="355"/>
        <v>1.575</v>
      </c>
      <c r="X152" s="2" t="s">
        <v>98</v>
      </c>
      <c r="Y152" s="108">
        <f t="shared" si="356"/>
        <v>1</v>
      </c>
      <c r="Z152" s="18">
        <f t="shared" si="357"/>
        <v>0.97840768094534702</v>
      </c>
      <c r="AA152" s="2" t="s">
        <v>98</v>
      </c>
      <c r="AB152" s="17">
        <f t="shared" si="358"/>
        <v>0.65500000000000114</v>
      </c>
      <c r="AC152" s="17"/>
      <c r="AD152" s="24">
        <f t="shared" si="359"/>
        <v>0.39749999999999663</v>
      </c>
      <c r="AE152" s="2" t="s">
        <v>98</v>
      </c>
      <c r="AF152" s="17">
        <f t="shared" si="360"/>
        <v>1.2499999999995737E-2</v>
      </c>
      <c r="AG152" s="2"/>
      <c r="AH152" s="29"/>
    </row>
    <row r="153" spans="1:34" x14ac:dyDescent="0.25">
      <c r="A153" s="5">
        <v>44746</v>
      </c>
      <c r="B153" s="2" t="s">
        <v>98</v>
      </c>
      <c r="C153" s="18">
        <f t="shared" si="344"/>
        <v>6.0000000000000497E-2</v>
      </c>
      <c r="D153" s="2" t="s">
        <v>98</v>
      </c>
      <c r="E153" s="107">
        <f t="shared" si="345"/>
        <v>3.0000000000000027E-2</v>
      </c>
      <c r="F153" s="2" t="s">
        <v>98</v>
      </c>
      <c r="G153" s="107">
        <f t="shared" si="346"/>
        <v>0.12000000000000099</v>
      </c>
      <c r="H153" s="2" t="s">
        <v>98</v>
      </c>
      <c r="I153" s="107">
        <f t="shared" si="347"/>
        <v>2.4999999999999467E-3</v>
      </c>
      <c r="J153" s="2" t="s">
        <v>98</v>
      </c>
      <c r="K153" s="18">
        <f t="shared" si="348"/>
        <v>9.2500000000001137E-2</v>
      </c>
      <c r="L153" s="2">
        <v>46.28</v>
      </c>
      <c r="M153" s="18">
        <f t="shared" si="349"/>
        <v>0</v>
      </c>
      <c r="N153" s="18">
        <f t="shared" si="350"/>
        <v>0.12000000000000099</v>
      </c>
      <c r="O153" s="114" t="s">
        <v>98</v>
      </c>
      <c r="P153" s="17">
        <f t="shared" si="351"/>
        <v>6</v>
      </c>
      <c r="Q153" s="18">
        <f t="shared" si="352"/>
        <v>1.7382</v>
      </c>
      <c r="R153" s="114" t="s">
        <v>98</v>
      </c>
      <c r="S153" s="17">
        <f t="shared" si="353"/>
        <v>3.75</v>
      </c>
      <c r="T153" s="17"/>
      <c r="U153" s="2" t="s">
        <v>98</v>
      </c>
      <c r="V153" s="17">
        <f t="shared" si="354"/>
        <v>5.25</v>
      </c>
      <c r="W153" s="18">
        <f t="shared" si="355"/>
        <v>1.575</v>
      </c>
      <c r="X153" s="2" t="s">
        <v>98</v>
      </c>
      <c r="Y153" s="108">
        <f t="shared" si="356"/>
        <v>1</v>
      </c>
      <c r="Z153" s="18">
        <f t="shared" si="357"/>
        <v>0.97840768094534702</v>
      </c>
      <c r="AA153" s="2" t="s">
        <v>98</v>
      </c>
      <c r="AB153" s="17">
        <f t="shared" si="358"/>
        <v>0.65500000000000114</v>
      </c>
      <c r="AC153" s="17"/>
      <c r="AD153" s="24">
        <f t="shared" si="359"/>
        <v>0.31749999999999834</v>
      </c>
      <c r="AE153" s="2" t="s">
        <v>98</v>
      </c>
      <c r="AF153" s="17">
        <f t="shared" si="360"/>
        <v>1.2499999999995737E-2</v>
      </c>
      <c r="AG153" s="2"/>
      <c r="AH153" s="29"/>
    </row>
    <row r="154" spans="1:34" x14ac:dyDescent="0.25">
      <c r="A154" s="5">
        <v>44747</v>
      </c>
      <c r="B154" s="2">
        <v>19.010000000000002</v>
      </c>
      <c r="C154" s="18">
        <f>($B$154-$B$150)/4</f>
        <v>6.0000000000000497E-2</v>
      </c>
      <c r="D154" s="67">
        <v>6.48</v>
      </c>
      <c r="E154" s="107">
        <f>($D$154-$D$150)/4</f>
        <v>3.0000000000000027E-2</v>
      </c>
      <c r="F154" s="2">
        <v>66.36</v>
      </c>
      <c r="G154" s="107">
        <f>($F$154-$F$150)/4</f>
        <v>0.12000000000000099</v>
      </c>
      <c r="H154" s="2">
        <v>2.36</v>
      </c>
      <c r="I154" s="107">
        <f>($H$154-$H$150)/4</f>
        <v>2.4999999999999467E-3</v>
      </c>
      <c r="J154" s="2">
        <v>68.48</v>
      </c>
      <c r="K154" s="18">
        <f>($J$154-$J$150)/4</f>
        <v>9.2500000000001137E-2</v>
      </c>
      <c r="L154" s="2">
        <v>46.28</v>
      </c>
      <c r="M154" s="18">
        <f t="shared" si="349"/>
        <v>0</v>
      </c>
      <c r="N154" s="18">
        <f t="shared" si="350"/>
        <v>0.12000000000000099</v>
      </c>
      <c r="O154" s="114">
        <v>68557</v>
      </c>
      <c r="P154" s="17">
        <f>($O$154-$O$150)/4</f>
        <v>6</v>
      </c>
      <c r="Q154" s="18">
        <f t="shared" si="352"/>
        <v>1.7382</v>
      </c>
      <c r="R154" s="114">
        <v>1322</v>
      </c>
      <c r="S154" s="17">
        <f>($R$154-$R$150)/4</f>
        <v>3.75</v>
      </c>
      <c r="T154" s="17"/>
      <c r="U154" s="2">
        <v>33533</v>
      </c>
      <c r="V154" s="17">
        <f>($U$154-$U$150)/4</f>
        <v>5.25</v>
      </c>
      <c r="W154" s="18">
        <f t="shared" si="355"/>
        <v>1.575</v>
      </c>
      <c r="X154" s="2">
        <v>12056</v>
      </c>
      <c r="Y154" s="108">
        <f>($X$154-$X$150)/4</f>
        <v>1</v>
      </c>
      <c r="Z154" s="18">
        <f t="shared" si="357"/>
        <v>0.97840768094534702</v>
      </c>
      <c r="AA154" s="2">
        <v>852.71</v>
      </c>
      <c r="AB154" s="17">
        <f>($AA$154-$AA$150)/4</f>
        <v>0.65500000000000114</v>
      </c>
      <c r="AC154" s="17"/>
      <c r="AD154" s="24">
        <f t="shared" si="359"/>
        <v>0.31749999999999834</v>
      </c>
      <c r="AE154" s="25">
        <v>136.85</v>
      </c>
      <c r="AF154" s="17">
        <f>($AE$154-$AE$150)/4</f>
        <v>1.2499999999995737E-2</v>
      </c>
      <c r="AG154" s="2"/>
      <c r="AH154" s="29"/>
    </row>
    <row r="155" spans="1:34" x14ac:dyDescent="0.25">
      <c r="A155" s="5">
        <v>44748</v>
      </c>
      <c r="B155" s="2">
        <v>19.07</v>
      </c>
      <c r="C155" s="18">
        <f>($B$154-$B$150)/4</f>
        <v>6.0000000000000497E-2</v>
      </c>
      <c r="D155" s="67">
        <v>6.49</v>
      </c>
      <c r="E155" s="107">
        <f>($D$154-$D$150)/4</f>
        <v>3.0000000000000027E-2</v>
      </c>
      <c r="F155" s="2">
        <v>66.55</v>
      </c>
      <c r="G155" s="107">
        <f>($F$154-$F$150)/4</f>
        <v>0.12000000000000099</v>
      </c>
      <c r="H155" s="2">
        <v>2.37</v>
      </c>
      <c r="I155" s="107">
        <f>($H$154-$H$150)/4</f>
        <v>2.4999999999999467E-3</v>
      </c>
      <c r="J155" s="2">
        <v>68.81</v>
      </c>
      <c r="K155" s="18">
        <f>($J$154-$J$150)/4</f>
        <v>9.2500000000001137E-2</v>
      </c>
      <c r="L155" s="2">
        <v>46.4</v>
      </c>
      <c r="M155" s="18">
        <f t="shared" si="349"/>
        <v>0.11999999999999744</v>
      </c>
      <c r="N155" s="18">
        <f t="shared" ref="N155:N158" si="361">G155-M155</f>
        <v>3.5527136788005009E-15</v>
      </c>
      <c r="O155" s="114">
        <v>68566</v>
      </c>
      <c r="P155" s="17">
        <f t="shared" ref="P155:P167" si="362">O155-O154</f>
        <v>9</v>
      </c>
      <c r="Q155" s="18">
        <f t="shared" si="352"/>
        <v>2.6073</v>
      </c>
      <c r="R155" s="114">
        <v>1326</v>
      </c>
      <c r="S155" s="17">
        <f t="shared" ref="S155:S167" si="363">R155-R154</f>
        <v>4</v>
      </c>
      <c r="T155" s="17"/>
      <c r="U155" s="2">
        <v>33540</v>
      </c>
      <c r="V155" s="17">
        <f t="shared" ref="V155:V167" si="364">U155-U154</f>
        <v>7</v>
      </c>
      <c r="W155" s="18">
        <f t="shared" si="355"/>
        <v>2.1</v>
      </c>
      <c r="X155" s="2">
        <v>12057</v>
      </c>
      <c r="Y155" s="108">
        <f t="shared" ref="Y155:Y167" si="365">X155-X154</f>
        <v>1</v>
      </c>
      <c r="Z155" s="18">
        <f t="shared" si="357"/>
        <v>0.97840768094534702</v>
      </c>
      <c r="AA155" s="2">
        <v>853.79</v>
      </c>
      <c r="AB155" s="17">
        <f t="shared" ref="AB155:AB167" si="366">AA155-AA154</f>
        <v>1.0799999999999272</v>
      </c>
      <c r="AC155" s="17"/>
      <c r="AD155" s="24">
        <f t="shared" si="359"/>
        <v>0.46499999999999209</v>
      </c>
      <c r="AE155" s="25">
        <v>136.88999999999999</v>
      </c>
      <c r="AF155" s="24">
        <f t="shared" ref="AF155:AF180" si="367">AE155-AE154</f>
        <v>3.9999999999992042E-2</v>
      </c>
      <c r="AG155" s="2"/>
      <c r="AH155" s="29"/>
    </row>
    <row r="156" spans="1:34" x14ac:dyDescent="0.25">
      <c r="A156" s="5">
        <v>44749</v>
      </c>
      <c r="B156" s="2">
        <v>19.14</v>
      </c>
      <c r="C156" s="18">
        <f t="shared" ref="C156:C170" si="368">B156-B155</f>
        <v>7.0000000000000284E-2</v>
      </c>
      <c r="D156" s="67">
        <v>6.53</v>
      </c>
      <c r="E156" s="107">
        <f t="shared" ref="E156:E180" si="369">D156-D155</f>
        <v>4.0000000000000036E-2</v>
      </c>
      <c r="F156" s="2">
        <v>66.75</v>
      </c>
      <c r="G156" s="107">
        <f t="shared" ref="G156:G180" si="370">F156-F155</f>
        <v>0.20000000000000284</v>
      </c>
      <c r="H156" s="2">
        <v>2.38</v>
      </c>
      <c r="I156" s="107">
        <f t="shared" ref="I156:I180" si="371">H156-H155</f>
        <v>9.9999999999997868E-3</v>
      </c>
      <c r="J156" s="2">
        <v>69.13</v>
      </c>
      <c r="K156" s="18">
        <f t="shared" ref="K156:K180" si="372">J156-J155</f>
        <v>0.31999999999999318</v>
      </c>
      <c r="L156" s="2">
        <v>46.6</v>
      </c>
      <c r="M156" s="18">
        <f t="shared" si="349"/>
        <v>0.20000000000000284</v>
      </c>
      <c r="N156" s="18">
        <f t="shared" si="361"/>
        <v>0</v>
      </c>
      <c r="O156" s="114">
        <v>68578</v>
      </c>
      <c r="P156" s="17">
        <f t="shared" si="362"/>
        <v>12</v>
      </c>
      <c r="Q156" s="18">
        <f t="shared" si="352"/>
        <v>3.4763999999999999</v>
      </c>
      <c r="R156" s="114">
        <v>1331</v>
      </c>
      <c r="S156" s="17">
        <f t="shared" si="363"/>
        <v>5</v>
      </c>
      <c r="T156" s="17"/>
      <c r="U156" s="2">
        <v>33545</v>
      </c>
      <c r="V156" s="17">
        <f t="shared" si="364"/>
        <v>5</v>
      </c>
      <c r="W156" s="18">
        <f t="shared" si="355"/>
        <v>1.5</v>
      </c>
      <c r="X156" s="2">
        <v>12059</v>
      </c>
      <c r="Y156" s="108">
        <f t="shared" si="365"/>
        <v>2</v>
      </c>
      <c r="Z156" s="18">
        <f t="shared" si="357"/>
        <v>1.956815361890694</v>
      </c>
      <c r="AA156" s="2">
        <v>854.62</v>
      </c>
      <c r="AB156" s="17">
        <f t="shared" si="366"/>
        <v>0.83000000000004093</v>
      </c>
      <c r="AC156" s="17"/>
      <c r="AD156" s="24">
        <f t="shared" si="359"/>
        <v>0.8500000000000183</v>
      </c>
      <c r="AE156" s="25">
        <v>136.9</v>
      </c>
      <c r="AF156" s="24">
        <f t="shared" si="367"/>
        <v>1.0000000000019327E-2</v>
      </c>
      <c r="AG156" s="2"/>
      <c r="AH156" s="29"/>
    </row>
    <row r="157" spans="1:34" x14ac:dyDescent="0.25">
      <c r="A157" s="5">
        <v>44750</v>
      </c>
      <c r="B157" s="2">
        <v>19.2</v>
      </c>
      <c r="C157" s="18">
        <f t="shared" si="368"/>
        <v>5.9999999999998721E-2</v>
      </c>
      <c r="D157" s="67">
        <v>6.55</v>
      </c>
      <c r="E157" s="107">
        <f t="shared" si="369"/>
        <v>1.9999999999999574E-2</v>
      </c>
      <c r="F157" s="2">
        <v>67.11</v>
      </c>
      <c r="G157" s="107">
        <f t="shared" si="370"/>
        <v>0.35999999999999943</v>
      </c>
      <c r="H157" s="2">
        <v>2.38</v>
      </c>
      <c r="I157" s="107">
        <f t="shared" si="371"/>
        <v>0</v>
      </c>
      <c r="J157" s="2">
        <v>69.36</v>
      </c>
      <c r="K157" s="18">
        <f t="shared" si="372"/>
        <v>0.23000000000000398</v>
      </c>
      <c r="L157" s="2">
        <v>46.84</v>
      </c>
      <c r="M157" s="18">
        <f t="shared" si="349"/>
        <v>0.24000000000000199</v>
      </c>
      <c r="N157" s="18">
        <f t="shared" si="361"/>
        <v>0.11999999999999744</v>
      </c>
      <c r="O157" s="114">
        <v>68587</v>
      </c>
      <c r="P157" s="17">
        <f t="shared" si="362"/>
        <v>9</v>
      </c>
      <c r="Q157" s="18">
        <f t="shared" si="352"/>
        <v>2.6073</v>
      </c>
      <c r="R157" s="114">
        <v>1335</v>
      </c>
      <c r="S157" s="17">
        <f t="shared" si="363"/>
        <v>4</v>
      </c>
      <c r="T157" s="17"/>
      <c r="U157" s="2">
        <v>33554</v>
      </c>
      <c r="V157" s="17">
        <f t="shared" si="364"/>
        <v>9</v>
      </c>
      <c r="W157" s="18">
        <f t="shared" si="355"/>
        <v>2.6999999999999997</v>
      </c>
      <c r="X157" s="2">
        <v>12061</v>
      </c>
      <c r="Y157" s="108">
        <f t="shared" si="365"/>
        <v>2</v>
      </c>
      <c r="Z157" s="18">
        <f t="shared" si="357"/>
        <v>1.956815361890694</v>
      </c>
      <c r="AA157" s="2">
        <v>855.79</v>
      </c>
      <c r="AB157" s="17">
        <f t="shared" si="366"/>
        <v>1.1699999999999591</v>
      </c>
      <c r="AC157" s="17"/>
      <c r="AD157" s="24">
        <f t="shared" ref="AD157" si="373">C157+E157+G157+I157+K157+M157+AF157</f>
        <v>0.91000000000000369</v>
      </c>
      <c r="AE157" s="25">
        <v>136.9</v>
      </c>
      <c r="AF157" s="24">
        <f t="shared" si="367"/>
        <v>0</v>
      </c>
      <c r="AG157" s="2"/>
      <c r="AH157" s="29"/>
    </row>
    <row r="158" spans="1:34" x14ac:dyDescent="0.25">
      <c r="A158" s="5">
        <v>44751</v>
      </c>
      <c r="B158" s="2">
        <v>19.28</v>
      </c>
      <c r="C158" s="18">
        <f t="shared" si="368"/>
        <v>8.0000000000001847E-2</v>
      </c>
      <c r="D158" s="67">
        <v>6.6</v>
      </c>
      <c r="E158" s="107">
        <f t="shared" si="369"/>
        <v>4.9999999999999822E-2</v>
      </c>
      <c r="F158" s="2">
        <v>67.36</v>
      </c>
      <c r="G158" s="107">
        <f t="shared" si="370"/>
        <v>0.25</v>
      </c>
      <c r="H158" s="2">
        <v>2.4</v>
      </c>
      <c r="I158" s="107">
        <f t="shared" si="371"/>
        <v>2.0000000000000018E-2</v>
      </c>
      <c r="J158" s="2">
        <v>69.56</v>
      </c>
      <c r="K158" s="18">
        <f t="shared" si="372"/>
        <v>0.20000000000000284</v>
      </c>
      <c r="L158" s="2">
        <v>46.96</v>
      </c>
      <c r="M158" s="18">
        <f t="shared" si="349"/>
        <v>0.11999999999999744</v>
      </c>
      <c r="N158" s="18">
        <f t="shared" si="361"/>
        <v>0.13000000000000256</v>
      </c>
      <c r="O158" s="114">
        <v>68597</v>
      </c>
      <c r="P158" s="17">
        <f t="shared" si="362"/>
        <v>10</v>
      </c>
      <c r="Q158" s="18">
        <f t="shared" ref="Q158" si="374">P158*$C$2</f>
        <v>2.8970000000000002</v>
      </c>
      <c r="R158" s="114">
        <v>1340</v>
      </c>
      <c r="S158" s="17">
        <f t="shared" si="363"/>
        <v>5</v>
      </c>
      <c r="T158" s="17"/>
      <c r="U158" s="2">
        <v>33562</v>
      </c>
      <c r="V158" s="17">
        <f t="shared" si="364"/>
        <v>8</v>
      </c>
      <c r="W158" s="18">
        <f t="shared" ref="W158" si="375">V158*$C$3</f>
        <v>2.4</v>
      </c>
      <c r="X158" s="2">
        <v>12062</v>
      </c>
      <c r="Y158" s="108">
        <f t="shared" si="365"/>
        <v>1</v>
      </c>
      <c r="Z158" s="18">
        <f t="shared" ref="Z158" si="376">Y158*$C$5*$G$4</f>
        <v>0.97840768094534702</v>
      </c>
      <c r="AA158" s="2">
        <v>856.93</v>
      </c>
      <c r="AB158" s="17">
        <f t="shared" si="366"/>
        <v>1.1399999999999864</v>
      </c>
      <c r="AC158" s="17"/>
      <c r="AD158" s="24">
        <f t="shared" ref="AD158" si="377">C158+E158+G158+I158+K158+M158+AF158</f>
        <v>0.72000000000000197</v>
      </c>
      <c r="AE158" s="25">
        <v>136.9</v>
      </c>
      <c r="AF158" s="24">
        <f t="shared" si="367"/>
        <v>0</v>
      </c>
      <c r="AG158" s="2"/>
      <c r="AH158" s="29"/>
    </row>
    <row r="159" spans="1:34" x14ac:dyDescent="0.25">
      <c r="A159" s="5">
        <v>44752</v>
      </c>
      <c r="B159" s="2">
        <v>19.3</v>
      </c>
      <c r="C159" s="18">
        <f t="shared" si="368"/>
        <v>1.9999999999999574E-2</v>
      </c>
      <c r="D159" s="67">
        <v>6.6</v>
      </c>
      <c r="E159" s="107">
        <f t="shared" si="369"/>
        <v>0</v>
      </c>
      <c r="F159" s="2">
        <v>67.47</v>
      </c>
      <c r="G159" s="107">
        <f t="shared" si="370"/>
        <v>0.10999999999999943</v>
      </c>
      <c r="H159" s="2">
        <v>2.4</v>
      </c>
      <c r="I159" s="107">
        <f t="shared" si="371"/>
        <v>0</v>
      </c>
      <c r="J159" s="2">
        <v>69.739999999999995</v>
      </c>
      <c r="K159" s="18">
        <f t="shared" si="372"/>
        <v>0.17999999999999261</v>
      </c>
      <c r="L159" s="2">
        <v>47.07</v>
      </c>
      <c r="M159" s="18">
        <f t="shared" si="349"/>
        <v>0.10999999999999943</v>
      </c>
      <c r="N159" s="18">
        <f t="shared" ref="N159" si="378">G159-M159</f>
        <v>0</v>
      </c>
      <c r="O159" s="114">
        <v>68605</v>
      </c>
      <c r="P159" s="17">
        <f t="shared" si="362"/>
        <v>8</v>
      </c>
      <c r="Q159" s="18">
        <f t="shared" ref="Q159" si="379">P159*$C$2</f>
        <v>2.3176000000000001</v>
      </c>
      <c r="R159" s="114">
        <v>1342</v>
      </c>
      <c r="S159" s="17">
        <f t="shared" si="363"/>
        <v>2</v>
      </c>
      <c r="T159" s="17"/>
      <c r="U159" s="2">
        <v>33565</v>
      </c>
      <c r="V159" s="17">
        <f t="shared" si="364"/>
        <v>3</v>
      </c>
      <c r="W159" s="18">
        <f t="shared" ref="W159" si="380">V159*$C$3</f>
        <v>0.89999999999999991</v>
      </c>
      <c r="X159" s="2">
        <v>12063</v>
      </c>
      <c r="Y159" s="108">
        <f t="shared" si="365"/>
        <v>1</v>
      </c>
      <c r="Z159" s="18">
        <f t="shared" ref="Z159" si="381">Y159*$C$5*$G$4</f>
        <v>0.97840768094534702</v>
      </c>
      <c r="AA159" s="2">
        <v>857.4</v>
      </c>
      <c r="AB159" s="17">
        <f t="shared" si="366"/>
        <v>0.47000000000002728</v>
      </c>
      <c r="AC159" s="17"/>
      <c r="AD159" s="24">
        <f t="shared" ref="AD159" si="382">C159+E159+G159+I159+K159+M159+AF159</f>
        <v>0.41999999999999105</v>
      </c>
      <c r="AE159" s="25">
        <v>136.9</v>
      </c>
      <c r="AF159" s="24">
        <f t="shared" si="367"/>
        <v>0</v>
      </c>
      <c r="AG159" s="2"/>
      <c r="AH159" s="29"/>
    </row>
    <row r="160" spans="1:34" x14ac:dyDescent="0.25">
      <c r="A160" s="5">
        <v>44753</v>
      </c>
      <c r="B160" s="2">
        <v>19.329999999999998</v>
      </c>
      <c r="C160" s="18">
        <f t="shared" si="368"/>
        <v>2.9999999999997584E-2</v>
      </c>
      <c r="D160" s="67">
        <v>6.63</v>
      </c>
      <c r="E160" s="107">
        <f t="shared" si="369"/>
        <v>3.0000000000000249E-2</v>
      </c>
      <c r="F160" s="2">
        <v>67.61</v>
      </c>
      <c r="G160" s="107">
        <f t="shared" si="370"/>
        <v>0.14000000000000057</v>
      </c>
      <c r="H160" s="2">
        <v>2.41</v>
      </c>
      <c r="I160" s="107">
        <f t="shared" si="371"/>
        <v>1.0000000000000231E-2</v>
      </c>
      <c r="J160" s="2">
        <v>69.91</v>
      </c>
      <c r="K160" s="18">
        <f t="shared" si="372"/>
        <v>0.17000000000000171</v>
      </c>
      <c r="L160" s="2">
        <v>47.18</v>
      </c>
      <c r="M160" s="18">
        <f t="shared" ref="M160" si="383">L160-L159</f>
        <v>0.10999999999999943</v>
      </c>
      <c r="N160" s="18">
        <f t="shared" ref="N160" si="384">G160-M160</f>
        <v>3.0000000000001137E-2</v>
      </c>
      <c r="O160" s="114">
        <v>68615</v>
      </c>
      <c r="P160" s="17">
        <f t="shared" si="362"/>
        <v>10</v>
      </c>
      <c r="Q160" s="18">
        <f t="shared" ref="Q160" si="385">P160*$C$2</f>
        <v>2.8970000000000002</v>
      </c>
      <c r="R160" s="114">
        <v>1346</v>
      </c>
      <c r="S160" s="17">
        <f t="shared" si="363"/>
        <v>4</v>
      </c>
      <c r="T160" s="17"/>
      <c r="U160" s="2">
        <v>33570</v>
      </c>
      <c r="V160" s="17">
        <f t="shared" si="364"/>
        <v>5</v>
      </c>
      <c r="W160" s="18">
        <f t="shared" ref="W160" si="386">V160*$C$3</f>
        <v>1.5</v>
      </c>
      <c r="X160" s="2">
        <v>12064</v>
      </c>
      <c r="Y160" s="108">
        <f t="shared" si="365"/>
        <v>1</v>
      </c>
      <c r="Z160" s="18">
        <f t="shared" ref="Z160" si="387">Y160*$C$5*$G$4</f>
        <v>0.97840768094534702</v>
      </c>
      <c r="AA160" s="2">
        <v>858.2</v>
      </c>
      <c r="AB160" s="17">
        <f t="shared" si="366"/>
        <v>0.80000000000006821</v>
      </c>
      <c r="AC160" s="17"/>
      <c r="AD160" s="24">
        <f t="shared" ref="AD160" si="388">C160+E160+G160+I160+K160+M160+AF160</f>
        <v>0.48999999999999977</v>
      </c>
      <c r="AE160" s="25">
        <v>136.9</v>
      </c>
      <c r="AF160" s="24">
        <f t="shared" si="367"/>
        <v>0</v>
      </c>
      <c r="AG160" s="2"/>
      <c r="AH160" s="29"/>
    </row>
    <row r="161" spans="1:34" x14ac:dyDescent="0.25">
      <c r="A161" s="5">
        <v>44754</v>
      </c>
      <c r="B161" s="2">
        <v>19.399999999999999</v>
      </c>
      <c r="C161" s="18">
        <f t="shared" si="368"/>
        <v>7.0000000000000284E-2</v>
      </c>
      <c r="D161" s="67">
        <v>6.67</v>
      </c>
      <c r="E161" s="107">
        <f t="shared" si="369"/>
        <v>4.0000000000000036E-2</v>
      </c>
      <c r="F161" s="2">
        <v>67.89</v>
      </c>
      <c r="G161" s="107">
        <f t="shared" si="370"/>
        <v>0.28000000000000114</v>
      </c>
      <c r="H161" s="2">
        <v>2.42</v>
      </c>
      <c r="I161" s="107">
        <f t="shared" si="371"/>
        <v>9.9999999999997868E-3</v>
      </c>
      <c r="J161" s="2">
        <v>70.09</v>
      </c>
      <c r="K161" s="18">
        <f t="shared" si="372"/>
        <v>0.18000000000000682</v>
      </c>
      <c r="L161" s="2">
        <v>47.31</v>
      </c>
      <c r="M161" s="18">
        <f t="shared" ref="M161" si="389">L161-L160</f>
        <v>0.13000000000000256</v>
      </c>
      <c r="N161" s="18">
        <f t="shared" ref="N161" si="390">G161-M161</f>
        <v>0.14999999999999858</v>
      </c>
      <c r="O161" s="114">
        <v>68623</v>
      </c>
      <c r="P161" s="17">
        <f t="shared" si="362"/>
        <v>8</v>
      </c>
      <c r="Q161" s="18">
        <f t="shared" ref="Q161" si="391">P161*$C$2</f>
        <v>2.3176000000000001</v>
      </c>
      <c r="R161" s="114">
        <v>1350</v>
      </c>
      <c r="S161" s="17">
        <f t="shared" si="363"/>
        <v>4</v>
      </c>
      <c r="T161" s="17"/>
      <c r="U161" s="2">
        <v>33575</v>
      </c>
      <c r="V161" s="17">
        <f t="shared" si="364"/>
        <v>5</v>
      </c>
      <c r="W161" s="18">
        <f t="shared" ref="W161" si="392">V161*$C$3</f>
        <v>1.5</v>
      </c>
      <c r="X161" s="2">
        <v>12066</v>
      </c>
      <c r="Y161" s="108">
        <f t="shared" si="365"/>
        <v>2</v>
      </c>
      <c r="Z161" s="18">
        <f t="shared" ref="Z161" si="393">Y161*$C$5*$G$4</f>
        <v>1.956815361890694</v>
      </c>
      <c r="AA161" s="2">
        <v>859.36</v>
      </c>
      <c r="AB161" s="17">
        <f t="shared" si="366"/>
        <v>1.1599999999999682</v>
      </c>
      <c r="AC161" s="17"/>
      <c r="AD161" s="24">
        <f t="shared" ref="AD161" si="394">C161+E161+G161+I161+K161+M161+AF161</f>
        <v>0.71000000000001062</v>
      </c>
      <c r="AE161" s="25">
        <v>136.9</v>
      </c>
      <c r="AF161" s="24">
        <f t="shared" si="367"/>
        <v>0</v>
      </c>
      <c r="AG161" s="2"/>
      <c r="AH161" s="29"/>
    </row>
    <row r="162" spans="1:34" x14ac:dyDescent="0.25">
      <c r="A162" s="5">
        <v>44755</v>
      </c>
      <c r="B162" s="2">
        <v>19.45</v>
      </c>
      <c r="C162" s="18">
        <f t="shared" si="368"/>
        <v>5.0000000000000711E-2</v>
      </c>
      <c r="D162" s="67">
        <v>6.69</v>
      </c>
      <c r="E162" s="107">
        <f t="shared" si="369"/>
        <v>2.0000000000000462E-2</v>
      </c>
      <c r="F162" s="2">
        <v>68.010000000000005</v>
      </c>
      <c r="G162" s="107">
        <f t="shared" si="370"/>
        <v>0.12000000000000455</v>
      </c>
      <c r="H162" s="2">
        <v>2.42</v>
      </c>
      <c r="I162" s="107">
        <f t="shared" si="371"/>
        <v>0</v>
      </c>
      <c r="J162" s="2">
        <v>70.23</v>
      </c>
      <c r="K162" s="18">
        <f t="shared" si="372"/>
        <v>0.14000000000000057</v>
      </c>
      <c r="L162" s="2">
        <v>47.41</v>
      </c>
      <c r="M162" s="18">
        <f t="shared" ref="M162" si="395">L162-L161</f>
        <v>9.9999999999994316E-2</v>
      </c>
      <c r="N162" s="18">
        <f t="shared" ref="N162" si="396">G162-M162</f>
        <v>2.0000000000010232E-2</v>
      </c>
      <c r="O162" s="114">
        <v>68630</v>
      </c>
      <c r="P162" s="17">
        <f t="shared" si="362"/>
        <v>7</v>
      </c>
      <c r="Q162" s="18">
        <f t="shared" ref="Q162" si="397">P162*$C$2</f>
        <v>2.0279000000000003</v>
      </c>
      <c r="R162" s="114">
        <v>1356</v>
      </c>
      <c r="S162" s="17">
        <f t="shared" si="363"/>
        <v>6</v>
      </c>
      <c r="T162" s="17"/>
      <c r="U162" s="2">
        <v>33580</v>
      </c>
      <c r="V162" s="17">
        <f t="shared" si="364"/>
        <v>5</v>
      </c>
      <c r="W162" s="18">
        <f t="shared" ref="W162" si="398">V162*$C$3</f>
        <v>1.5</v>
      </c>
      <c r="X162" s="2">
        <v>12067</v>
      </c>
      <c r="Y162" s="108">
        <f t="shared" si="365"/>
        <v>1</v>
      </c>
      <c r="Z162" s="18">
        <f t="shared" ref="Z162" si="399">Y162*$C$5*$G$4</f>
        <v>0.97840768094534702</v>
      </c>
      <c r="AA162" s="2">
        <v>860.3</v>
      </c>
      <c r="AB162" s="17">
        <f t="shared" si="366"/>
        <v>0.93999999999994088</v>
      </c>
      <c r="AC162" s="17"/>
      <c r="AD162" s="24">
        <f t="shared" ref="AD162" si="400">C162+E162+G162+I162+K162+M162+AF162</f>
        <v>0.62999999999998924</v>
      </c>
      <c r="AE162" s="25">
        <v>137.1</v>
      </c>
      <c r="AF162" s="24">
        <f t="shared" si="367"/>
        <v>0.19999999999998863</v>
      </c>
      <c r="AG162" s="2"/>
      <c r="AH162" s="29"/>
    </row>
    <row r="163" spans="1:34" x14ac:dyDescent="0.25">
      <c r="A163" s="5">
        <v>44756</v>
      </c>
      <c r="B163" s="2">
        <v>19.5</v>
      </c>
      <c r="C163" s="18">
        <f t="shared" si="368"/>
        <v>5.0000000000000711E-2</v>
      </c>
      <c r="D163" s="67">
        <v>6.72</v>
      </c>
      <c r="E163" s="107">
        <f t="shared" si="369"/>
        <v>2.9999999999999361E-2</v>
      </c>
      <c r="F163" s="2">
        <v>68.2</v>
      </c>
      <c r="G163" s="107">
        <f t="shared" si="370"/>
        <v>0.18999999999999773</v>
      </c>
      <c r="H163" s="2">
        <v>2.42</v>
      </c>
      <c r="I163" s="107">
        <f t="shared" si="371"/>
        <v>0</v>
      </c>
      <c r="J163" s="2">
        <v>70.39</v>
      </c>
      <c r="K163" s="18">
        <f t="shared" si="372"/>
        <v>0.15999999999999659</v>
      </c>
      <c r="L163" s="2">
        <v>47.56</v>
      </c>
      <c r="M163" s="18">
        <f t="shared" ref="M163" si="401">L163-L162</f>
        <v>0.15000000000000568</v>
      </c>
      <c r="N163" s="18">
        <f t="shared" ref="N163" si="402">G163-M163</f>
        <v>3.9999999999992042E-2</v>
      </c>
      <c r="O163" s="114">
        <v>68638</v>
      </c>
      <c r="P163" s="17">
        <f t="shared" si="362"/>
        <v>8</v>
      </c>
      <c r="Q163" s="18">
        <f t="shared" ref="Q163" si="403">P163*$C$2</f>
        <v>2.3176000000000001</v>
      </c>
      <c r="R163" s="114">
        <v>1360</v>
      </c>
      <c r="S163" s="17">
        <f t="shared" si="363"/>
        <v>4</v>
      </c>
      <c r="T163" s="17"/>
      <c r="U163" s="2">
        <v>33584</v>
      </c>
      <c r="V163" s="17">
        <f t="shared" si="364"/>
        <v>4</v>
      </c>
      <c r="W163" s="18">
        <f t="shared" ref="W163" si="404">V163*$C$3</f>
        <v>1.2</v>
      </c>
      <c r="X163" s="2">
        <v>12068</v>
      </c>
      <c r="Y163" s="108">
        <f t="shared" si="365"/>
        <v>1</v>
      </c>
      <c r="Z163" s="18">
        <f t="shared" ref="Z163" si="405">Y163*$C$5*$G$4</f>
        <v>0.97840768094534702</v>
      </c>
      <c r="AA163" s="2">
        <v>861.11</v>
      </c>
      <c r="AB163" s="17">
        <f t="shared" si="366"/>
        <v>0.81000000000005912</v>
      </c>
      <c r="AC163" s="17"/>
      <c r="AD163" s="24">
        <f t="shared" ref="AD163" si="406">C163+E163+G163+I163+K163+M163+AF163</f>
        <v>0.58000000000000007</v>
      </c>
      <c r="AE163" s="25">
        <v>137.1</v>
      </c>
      <c r="AF163" s="24">
        <f t="shared" si="367"/>
        <v>0</v>
      </c>
      <c r="AG163" s="2"/>
      <c r="AH163" s="29"/>
    </row>
    <row r="164" spans="1:34" x14ac:dyDescent="0.25">
      <c r="A164" s="5">
        <v>44757</v>
      </c>
      <c r="B164" s="2">
        <v>19.559999999999999</v>
      </c>
      <c r="C164" s="18">
        <f t="shared" si="368"/>
        <v>5.9999999999998721E-2</v>
      </c>
      <c r="D164" s="67">
        <v>6.75</v>
      </c>
      <c r="E164" s="107">
        <f t="shared" si="369"/>
        <v>3.0000000000000249E-2</v>
      </c>
      <c r="F164" s="2">
        <v>68.33</v>
      </c>
      <c r="G164" s="107">
        <f t="shared" si="370"/>
        <v>0.12999999999999545</v>
      </c>
      <c r="H164" s="2">
        <v>2.42</v>
      </c>
      <c r="I164" s="107">
        <f t="shared" si="371"/>
        <v>0</v>
      </c>
      <c r="J164" s="2">
        <v>70.489999999999995</v>
      </c>
      <c r="K164" s="18">
        <f t="shared" si="372"/>
        <v>9.9999999999994316E-2</v>
      </c>
      <c r="L164" s="2">
        <v>47.59</v>
      </c>
      <c r="M164" s="18">
        <f t="shared" ref="M164" si="407">L164-L163</f>
        <v>3.0000000000001137E-2</v>
      </c>
      <c r="N164" s="18">
        <f t="shared" ref="N164" si="408">G164-M164</f>
        <v>9.9999999999994316E-2</v>
      </c>
      <c r="O164" s="114">
        <v>68648</v>
      </c>
      <c r="P164" s="17">
        <f t="shared" si="362"/>
        <v>10</v>
      </c>
      <c r="Q164" s="18">
        <f t="shared" ref="Q164" si="409">P164*$C$2</f>
        <v>2.8970000000000002</v>
      </c>
      <c r="R164" s="114">
        <v>1363</v>
      </c>
      <c r="S164" s="17">
        <f t="shared" si="363"/>
        <v>3</v>
      </c>
      <c r="T164" s="17"/>
      <c r="U164" s="2">
        <v>33590</v>
      </c>
      <c r="V164" s="17">
        <f t="shared" si="364"/>
        <v>6</v>
      </c>
      <c r="W164" s="18">
        <f t="shared" ref="W164" si="410">V164*$C$3</f>
        <v>1.7999999999999998</v>
      </c>
      <c r="X164" s="2">
        <v>12069</v>
      </c>
      <c r="Y164" s="108">
        <f t="shared" si="365"/>
        <v>1</v>
      </c>
      <c r="Z164" s="18">
        <f t="shared" ref="Z164" si="411">Y164*$C$5*$G$4</f>
        <v>0.97840768094534702</v>
      </c>
      <c r="AA164" s="2">
        <v>861.79</v>
      </c>
      <c r="AB164" s="17">
        <f t="shared" si="366"/>
        <v>0.67999999999994998</v>
      </c>
      <c r="AC164" s="17"/>
      <c r="AD164" s="24">
        <f t="shared" ref="AD164" si="412">C164+E164+G164+I164+K164+M164+AF164</f>
        <v>0.55999999999999783</v>
      </c>
      <c r="AE164" s="25">
        <v>137.31</v>
      </c>
      <c r="AF164" s="24">
        <f t="shared" si="367"/>
        <v>0.21000000000000796</v>
      </c>
      <c r="AG164" s="2"/>
      <c r="AH164" s="29"/>
    </row>
    <row r="165" spans="1:34" x14ac:dyDescent="0.25">
      <c r="A165" s="5">
        <v>44758</v>
      </c>
      <c r="B165" s="2">
        <v>19.62</v>
      </c>
      <c r="C165" s="18">
        <f t="shared" si="368"/>
        <v>6.0000000000002274E-2</v>
      </c>
      <c r="D165" s="67">
        <v>6.79</v>
      </c>
      <c r="E165" s="107">
        <f t="shared" si="369"/>
        <v>4.0000000000000036E-2</v>
      </c>
      <c r="F165" s="2">
        <v>68.540000000000006</v>
      </c>
      <c r="G165" s="107">
        <f t="shared" si="370"/>
        <v>0.21000000000000796</v>
      </c>
      <c r="H165" s="2">
        <v>2.4300000000000002</v>
      </c>
      <c r="I165" s="107">
        <f t="shared" si="371"/>
        <v>1.0000000000000231E-2</v>
      </c>
      <c r="J165" s="2">
        <v>70.73</v>
      </c>
      <c r="K165" s="18">
        <f t="shared" si="372"/>
        <v>0.24000000000000909</v>
      </c>
      <c r="L165" s="2">
        <v>47.73</v>
      </c>
      <c r="M165" s="18">
        <f t="shared" ref="M165" si="413">L165-L164</f>
        <v>0.13999999999999346</v>
      </c>
      <c r="N165" s="18">
        <f t="shared" ref="N165" si="414">G165-M165</f>
        <v>7.0000000000014495E-2</v>
      </c>
      <c r="O165" s="114">
        <v>68658</v>
      </c>
      <c r="P165" s="17">
        <f t="shared" si="362"/>
        <v>10</v>
      </c>
      <c r="Q165" s="18">
        <f t="shared" ref="Q165" si="415">P165*$C$2</f>
        <v>2.8970000000000002</v>
      </c>
      <c r="R165" s="114">
        <v>1367</v>
      </c>
      <c r="S165" s="17">
        <f t="shared" si="363"/>
        <v>4</v>
      </c>
      <c r="T165" s="17"/>
      <c r="U165" s="2">
        <v>33593</v>
      </c>
      <c r="V165" s="17">
        <f t="shared" si="364"/>
        <v>3</v>
      </c>
      <c r="W165" s="18">
        <f t="shared" ref="W165" si="416">V165*$C$3</f>
        <v>0.89999999999999991</v>
      </c>
      <c r="X165" s="2">
        <v>12070</v>
      </c>
      <c r="Y165" s="108">
        <f t="shared" si="365"/>
        <v>1</v>
      </c>
      <c r="Z165" s="18">
        <f t="shared" ref="Z165" si="417">Y165*$C$5*$G$4</f>
        <v>0.97840768094534702</v>
      </c>
      <c r="AA165" s="2">
        <v>862.68</v>
      </c>
      <c r="AB165" s="17">
        <f t="shared" si="366"/>
        <v>0.88999999999998636</v>
      </c>
      <c r="AC165" s="17"/>
      <c r="AD165" s="24">
        <f t="shared" ref="AD165" si="418">C165+E165+G165+I165+K165+M165+AF165</f>
        <v>0.69000000000002215</v>
      </c>
      <c r="AE165" s="25">
        <v>137.30000000000001</v>
      </c>
      <c r="AF165" s="24">
        <f t="shared" si="367"/>
        <v>-9.9999999999909051E-3</v>
      </c>
      <c r="AG165" s="2"/>
      <c r="AH165" s="29"/>
    </row>
    <row r="166" spans="1:34" x14ac:dyDescent="0.25">
      <c r="A166" s="5">
        <v>44759</v>
      </c>
      <c r="B166" s="2">
        <v>19.66</v>
      </c>
      <c r="C166" s="18">
        <f t="shared" si="368"/>
        <v>3.9999999999999147E-2</v>
      </c>
      <c r="D166" s="67">
        <v>6.8</v>
      </c>
      <c r="E166" s="107">
        <f t="shared" si="369"/>
        <v>9.9999999999997868E-3</v>
      </c>
      <c r="F166" s="2">
        <v>68.69</v>
      </c>
      <c r="G166" s="107">
        <f t="shared" si="370"/>
        <v>0.14999999999999147</v>
      </c>
      <c r="H166" s="2">
        <v>2.4300000000000002</v>
      </c>
      <c r="I166" s="107">
        <f t="shared" si="371"/>
        <v>0</v>
      </c>
      <c r="J166" s="2">
        <v>70.88</v>
      </c>
      <c r="K166" s="18">
        <f t="shared" si="372"/>
        <v>0.14999999999999147</v>
      </c>
      <c r="L166" s="2">
        <v>47.81</v>
      </c>
      <c r="M166" s="18">
        <f t="shared" ref="M166" si="419">L166-L165</f>
        <v>8.00000000000054E-2</v>
      </c>
      <c r="N166" s="18">
        <f t="shared" ref="N166" si="420">G166-M166</f>
        <v>6.9999999999986073E-2</v>
      </c>
      <c r="O166" s="114">
        <v>68667</v>
      </c>
      <c r="P166" s="17">
        <f t="shared" si="362"/>
        <v>9</v>
      </c>
      <c r="Q166" s="18">
        <f t="shared" ref="Q166" si="421">P166*$C$2</f>
        <v>2.6073</v>
      </c>
      <c r="R166" s="114">
        <v>1370</v>
      </c>
      <c r="S166" s="17">
        <f t="shared" si="363"/>
        <v>3</v>
      </c>
      <c r="T166" s="17"/>
      <c r="U166" s="2">
        <v>33598</v>
      </c>
      <c r="V166" s="17">
        <f t="shared" si="364"/>
        <v>5</v>
      </c>
      <c r="W166" s="18">
        <f t="shared" ref="W166" si="422">V166*$C$3</f>
        <v>1.5</v>
      </c>
      <c r="X166" s="2">
        <v>12071</v>
      </c>
      <c r="Y166" s="108">
        <f t="shared" si="365"/>
        <v>1</v>
      </c>
      <c r="Z166" s="18">
        <f t="shared" ref="Z166" si="423">Y166*$C$5*$G$4</f>
        <v>0.97840768094534702</v>
      </c>
      <c r="AA166" s="2">
        <v>863.47</v>
      </c>
      <c r="AB166" s="17">
        <f t="shared" si="366"/>
        <v>0.79000000000007731</v>
      </c>
      <c r="AC166" s="17"/>
      <c r="AD166" s="24">
        <f t="shared" ref="AD166" si="424">C166+E166+G166+I166+K166+M166+AF166</f>
        <v>0.42999999999998728</v>
      </c>
      <c r="AE166" s="25">
        <v>137.30000000000001</v>
      </c>
      <c r="AF166" s="24">
        <f t="shared" si="367"/>
        <v>0</v>
      </c>
      <c r="AG166" s="2"/>
      <c r="AH166" s="29"/>
    </row>
    <row r="167" spans="1:34" x14ac:dyDescent="0.25">
      <c r="A167" s="5">
        <v>44760</v>
      </c>
      <c r="B167" s="2">
        <v>19.77</v>
      </c>
      <c r="C167" s="18">
        <f t="shared" si="368"/>
        <v>0.10999999999999943</v>
      </c>
      <c r="D167" s="67">
        <v>6.86</v>
      </c>
      <c r="E167" s="107">
        <f t="shared" si="369"/>
        <v>6.0000000000000497E-2</v>
      </c>
      <c r="F167" s="2">
        <v>68.91</v>
      </c>
      <c r="G167" s="107">
        <f t="shared" si="370"/>
        <v>0.21999999999999886</v>
      </c>
      <c r="H167" s="2">
        <v>2.46</v>
      </c>
      <c r="I167" s="107">
        <f t="shared" si="371"/>
        <v>2.9999999999999805E-2</v>
      </c>
      <c r="J167" s="2">
        <v>71.03</v>
      </c>
      <c r="K167" s="18">
        <f t="shared" si="372"/>
        <v>0.15000000000000568</v>
      </c>
      <c r="L167" s="2">
        <v>47.89</v>
      </c>
      <c r="M167" s="18">
        <f t="shared" ref="M167" si="425">L167-L166</f>
        <v>7.9999999999998295E-2</v>
      </c>
      <c r="N167" s="18">
        <f t="shared" ref="N167" si="426">G167-M167</f>
        <v>0.14000000000000057</v>
      </c>
      <c r="O167" s="114">
        <v>68675</v>
      </c>
      <c r="P167" s="17">
        <f t="shared" si="362"/>
        <v>8</v>
      </c>
      <c r="Q167" s="18">
        <f t="shared" ref="Q167" si="427">P167*$C$2</f>
        <v>2.3176000000000001</v>
      </c>
      <c r="R167" s="114">
        <v>1375</v>
      </c>
      <c r="S167" s="17">
        <f t="shared" si="363"/>
        <v>5</v>
      </c>
      <c r="T167" s="17"/>
      <c r="U167" s="2">
        <v>33605</v>
      </c>
      <c r="V167" s="17">
        <f t="shared" si="364"/>
        <v>7</v>
      </c>
      <c r="W167" s="18">
        <f t="shared" ref="W167" si="428">V167*$C$3</f>
        <v>2.1</v>
      </c>
      <c r="X167" s="2">
        <v>12073</v>
      </c>
      <c r="Y167" s="108">
        <f t="shared" si="365"/>
        <v>2</v>
      </c>
      <c r="Z167" s="18">
        <f t="shared" ref="Z167" si="429">Y167*$C$5*$G$4</f>
        <v>1.956815361890694</v>
      </c>
      <c r="AA167" s="2">
        <v>864.67</v>
      </c>
      <c r="AB167" s="17">
        <f t="shared" si="366"/>
        <v>1.1999999999999318</v>
      </c>
      <c r="AC167" s="17"/>
      <c r="AD167" s="24">
        <f t="shared" ref="AD167" si="430">C167+E167+G167+I167+K167+M167+AF167</f>
        <v>0.91999999999998439</v>
      </c>
      <c r="AE167" s="25">
        <v>137.57</v>
      </c>
      <c r="AF167" s="24">
        <f t="shared" si="367"/>
        <v>0.26999999999998181</v>
      </c>
      <c r="AG167" s="2"/>
      <c r="AH167" s="29"/>
    </row>
    <row r="168" spans="1:34" x14ac:dyDescent="0.25">
      <c r="A168" s="5">
        <v>44761</v>
      </c>
      <c r="B168" s="2">
        <v>19.84</v>
      </c>
      <c r="C168" s="18">
        <f t="shared" si="368"/>
        <v>7.0000000000000284E-2</v>
      </c>
      <c r="D168" s="67">
        <v>6.88</v>
      </c>
      <c r="E168" s="107">
        <f t="shared" si="369"/>
        <v>1.9999999999999574E-2</v>
      </c>
      <c r="F168" s="2">
        <v>69.069999999999993</v>
      </c>
      <c r="G168" s="107">
        <f t="shared" si="370"/>
        <v>0.15999999999999659</v>
      </c>
      <c r="H168" s="2">
        <v>2.48</v>
      </c>
      <c r="I168" s="107">
        <f t="shared" si="371"/>
        <v>2.0000000000000018E-2</v>
      </c>
      <c r="J168" s="2">
        <v>71.2</v>
      </c>
      <c r="K168" s="18">
        <f t="shared" si="372"/>
        <v>0.17000000000000171</v>
      </c>
      <c r="L168" s="2">
        <v>47.98</v>
      </c>
      <c r="M168" s="18">
        <f t="shared" ref="M168" si="431">L168-L167</f>
        <v>8.9999999999996305E-2</v>
      </c>
      <c r="N168" s="18">
        <f t="shared" ref="N168" si="432">G168-M168</f>
        <v>7.0000000000000284E-2</v>
      </c>
      <c r="O168" s="114">
        <v>68683</v>
      </c>
      <c r="P168" s="17">
        <f t="shared" ref="P168" si="433">O168-O167</f>
        <v>8</v>
      </c>
      <c r="Q168" s="18">
        <f t="shared" ref="Q168" si="434">P168*$C$2</f>
        <v>2.3176000000000001</v>
      </c>
      <c r="R168" s="114">
        <v>1379</v>
      </c>
      <c r="S168" s="17">
        <f t="shared" ref="S168" si="435">R168-R167</f>
        <v>4</v>
      </c>
      <c r="T168" s="17"/>
      <c r="U168" s="2">
        <v>33609</v>
      </c>
      <c r="V168" s="17">
        <f t="shared" ref="V168" si="436">U168-U167</f>
        <v>4</v>
      </c>
      <c r="W168" s="18">
        <f t="shared" ref="W168" si="437">V168*$C$3</f>
        <v>1.2</v>
      </c>
      <c r="X168" s="2">
        <v>12074</v>
      </c>
      <c r="Y168" s="108">
        <f t="shared" ref="Y168" si="438">X168-X167</f>
        <v>1</v>
      </c>
      <c r="Z168" s="18">
        <f t="shared" ref="Z168" si="439">Y168*$C$5*$G$4</f>
        <v>0.97840768094534702</v>
      </c>
      <c r="AA168" s="2">
        <v>865.56</v>
      </c>
      <c r="AB168" s="17">
        <f t="shared" ref="AB168" si="440">AA168-AA167</f>
        <v>0.88999999999998636</v>
      </c>
      <c r="AC168" s="17"/>
      <c r="AD168" s="24">
        <f t="shared" ref="AD168" si="441">C168+E168+G168+I168+K168+M168+AF168</f>
        <v>0.74999999999999334</v>
      </c>
      <c r="AE168" s="25">
        <v>137.79</v>
      </c>
      <c r="AF168" s="24">
        <f t="shared" si="367"/>
        <v>0.21999999999999886</v>
      </c>
      <c r="AG168" s="2"/>
      <c r="AH168" s="29"/>
    </row>
    <row r="169" spans="1:34" x14ac:dyDescent="0.25">
      <c r="A169" s="5">
        <v>44762</v>
      </c>
      <c r="B169" s="2">
        <v>19.87</v>
      </c>
      <c r="C169" s="18">
        <f t="shared" si="368"/>
        <v>3.0000000000001137E-2</v>
      </c>
      <c r="D169" s="67">
        <v>6.91</v>
      </c>
      <c r="E169" s="107">
        <f t="shared" si="369"/>
        <v>3.0000000000000249E-2</v>
      </c>
      <c r="F169" s="2">
        <v>69.22</v>
      </c>
      <c r="G169" s="107">
        <f t="shared" si="370"/>
        <v>0.15000000000000568</v>
      </c>
      <c r="H169" s="2">
        <v>2.48</v>
      </c>
      <c r="I169" s="107">
        <f t="shared" si="371"/>
        <v>0</v>
      </c>
      <c r="J169" s="2">
        <v>71.36</v>
      </c>
      <c r="K169" s="18">
        <f t="shared" si="372"/>
        <v>0.15999999999999659</v>
      </c>
      <c r="L169" s="2">
        <v>48.08</v>
      </c>
      <c r="M169" s="18">
        <f t="shared" ref="M169" si="442">L169-L168</f>
        <v>0.10000000000000142</v>
      </c>
      <c r="N169" s="18">
        <f t="shared" ref="N169" si="443">G169-M169</f>
        <v>5.0000000000004263E-2</v>
      </c>
      <c r="O169" s="114">
        <v>68694</v>
      </c>
      <c r="P169" s="17">
        <f t="shared" ref="P169" si="444">O169-O168</f>
        <v>11</v>
      </c>
      <c r="Q169" s="18">
        <f t="shared" ref="Q169" si="445">P169*$C$2</f>
        <v>3.1867000000000001</v>
      </c>
      <c r="R169" s="114">
        <v>1383</v>
      </c>
      <c r="S169" s="17">
        <f t="shared" ref="S169" si="446">R169-R168</f>
        <v>4</v>
      </c>
      <c r="T169" s="17"/>
      <c r="U169" s="2">
        <v>33611</v>
      </c>
      <c r="V169" s="17">
        <f t="shared" ref="V169" si="447">U169-U168</f>
        <v>2</v>
      </c>
      <c r="W169" s="18">
        <f t="shared" ref="W169" si="448">V169*$C$3</f>
        <v>0.6</v>
      </c>
      <c r="X169" s="2">
        <v>12075</v>
      </c>
      <c r="Y169" s="108">
        <f t="shared" ref="Y169" si="449">X169-X168</f>
        <v>1</v>
      </c>
      <c r="Z169" s="18">
        <f t="shared" ref="Z169" si="450">Y169*$C$5*$G$4</f>
        <v>0.97840768094534702</v>
      </c>
      <c r="AA169" s="2">
        <v>866.37</v>
      </c>
      <c r="AB169" s="17">
        <f t="shared" ref="AB169:AB170" si="451">AA169-AA168</f>
        <v>0.81000000000005912</v>
      </c>
      <c r="AC169" s="17"/>
      <c r="AD169" s="24">
        <f t="shared" ref="AD169:AD170" si="452">C169+E169+G169+I169+K169+M169+AF169</f>
        <v>0.71000000000001418</v>
      </c>
      <c r="AE169" s="25">
        <v>138.03</v>
      </c>
      <c r="AF169" s="24">
        <f t="shared" si="367"/>
        <v>0.24000000000000909</v>
      </c>
      <c r="AG169" s="2"/>
      <c r="AH169" s="29"/>
    </row>
    <row r="170" spans="1:34" x14ac:dyDescent="0.25">
      <c r="A170" s="5">
        <v>44763</v>
      </c>
      <c r="B170" s="2">
        <v>19.899999999999999</v>
      </c>
      <c r="C170" s="18">
        <f t="shared" si="368"/>
        <v>2.9999999999997584E-2</v>
      </c>
      <c r="D170" s="67">
        <v>6.91</v>
      </c>
      <c r="E170" s="107">
        <f t="shared" si="369"/>
        <v>0</v>
      </c>
      <c r="F170" s="2">
        <v>69.33</v>
      </c>
      <c r="G170" s="107">
        <f t="shared" si="370"/>
        <v>0.10999999999999943</v>
      </c>
      <c r="H170" s="2">
        <v>2.48</v>
      </c>
      <c r="I170" s="107">
        <f t="shared" si="371"/>
        <v>0</v>
      </c>
      <c r="J170" s="2">
        <v>71.59</v>
      </c>
      <c r="K170" s="18">
        <f t="shared" si="372"/>
        <v>0.23000000000000398</v>
      </c>
      <c r="L170" s="2">
        <v>48.19</v>
      </c>
      <c r="M170" s="18">
        <f t="shared" ref="M170:M171" si="453">L170-L169</f>
        <v>0.10999999999999943</v>
      </c>
      <c r="N170" s="18">
        <f t="shared" ref="N170:N171" si="454">G170-M170</f>
        <v>0</v>
      </c>
      <c r="O170" s="114">
        <v>68705</v>
      </c>
      <c r="P170" s="17">
        <f t="shared" ref="P170" si="455">O170-O169</f>
        <v>11</v>
      </c>
      <c r="Q170" s="18">
        <f t="shared" ref="Q170" si="456">P170*$C$2</f>
        <v>3.1867000000000001</v>
      </c>
      <c r="R170" s="114">
        <v>1386</v>
      </c>
      <c r="S170" s="17">
        <f t="shared" ref="S170" si="457">R170-R169</f>
        <v>3</v>
      </c>
      <c r="T170" s="17"/>
      <c r="U170" s="2">
        <v>33613</v>
      </c>
      <c r="V170" s="17">
        <f t="shared" ref="V170" si="458">U170-U169</f>
        <v>2</v>
      </c>
      <c r="W170" s="18">
        <f t="shared" ref="W170" si="459">V170*$C$3</f>
        <v>0.6</v>
      </c>
      <c r="X170" s="2">
        <v>12076</v>
      </c>
      <c r="Y170" s="108">
        <f t="shared" ref="Y170" si="460">X170-X169</f>
        <v>1</v>
      </c>
      <c r="Z170" s="18">
        <f t="shared" ref="Z170" si="461">Y170*$C$5*$G$4</f>
        <v>0.97840768094534702</v>
      </c>
      <c r="AA170" s="2">
        <v>866.87</v>
      </c>
      <c r="AB170" s="17">
        <f t="shared" si="451"/>
        <v>0.5</v>
      </c>
      <c r="AC170" s="17"/>
      <c r="AD170" s="24">
        <f t="shared" si="452"/>
        <v>0.48999999999999133</v>
      </c>
      <c r="AE170" s="25">
        <v>138.04</v>
      </c>
      <c r="AF170" s="24">
        <f t="shared" si="367"/>
        <v>9.9999999999909051E-3</v>
      </c>
      <c r="AG170" s="2"/>
      <c r="AH170" s="29"/>
    </row>
    <row r="171" spans="1:34" x14ac:dyDescent="0.25">
      <c r="A171" s="5">
        <v>44764</v>
      </c>
      <c r="B171" s="2">
        <v>19.98</v>
      </c>
      <c r="C171" s="18">
        <f t="shared" ref="C171:C180" si="462">B171-B170</f>
        <v>8.0000000000001847E-2</v>
      </c>
      <c r="D171" s="67">
        <v>6.91</v>
      </c>
      <c r="E171" s="107">
        <f t="shared" si="369"/>
        <v>0</v>
      </c>
      <c r="F171" s="2">
        <v>69.41</v>
      </c>
      <c r="G171" s="107">
        <f t="shared" si="370"/>
        <v>7.9999999999998295E-2</v>
      </c>
      <c r="H171" s="2">
        <v>2.48</v>
      </c>
      <c r="I171" s="107">
        <f t="shared" si="371"/>
        <v>0</v>
      </c>
      <c r="J171" s="2">
        <v>71.75</v>
      </c>
      <c r="K171" s="18">
        <f t="shared" si="372"/>
        <v>0.15999999999999659</v>
      </c>
      <c r="L171" s="2">
        <v>48.27</v>
      </c>
      <c r="M171" s="18">
        <f t="shared" si="453"/>
        <v>8.00000000000054E-2</v>
      </c>
      <c r="N171" s="18">
        <f t="shared" si="454"/>
        <v>-7.1054273576010019E-15</v>
      </c>
      <c r="O171" s="114">
        <v>68714</v>
      </c>
      <c r="P171" s="17">
        <f t="shared" ref="P171:P180" si="463">O171-O170</f>
        <v>9</v>
      </c>
      <c r="Q171" s="18">
        <f t="shared" ref="Q171:Q180" si="464">P171*$C$2</f>
        <v>2.6073</v>
      </c>
      <c r="R171" s="114">
        <v>1388</v>
      </c>
      <c r="S171" s="17">
        <f t="shared" ref="S171" si="465">R171-R170</f>
        <v>2</v>
      </c>
      <c r="T171" s="17"/>
      <c r="U171" s="2">
        <v>33616</v>
      </c>
      <c r="V171" s="17">
        <f t="shared" ref="V171" si="466">U171-U170</f>
        <v>3</v>
      </c>
      <c r="W171" s="18">
        <f t="shared" ref="W171" si="467">V171*$C$3</f>
        <v>0.89999999999999991</v>
      </c>
      <c r="X171" s="2">
        <v>12077</v>
      </c>
      <c r="Y171" s="108">
        <f t="shared" ref="Y171" si="468">X171-X170</f>
        <v>1</v>
      </c>
      <c r="Z171" s="18">
        <f t="shared" ref="Z171" si="469">Y171*$C$5*$G$4</f>
        <v>0.97840768094534702</v>
      </c>
      <c r="AA171" s="2">
        <v>867.31</v>
      </c>
      <c r="AB171" s="17">
        <f t="shared" ref="AB171" si="470">AA171-AA170</f>
        <v>0.43999999999994088</v>
      </c>
      <c r="AC171" s="17"/>
      <c r="AD171" s="24">
        <f t="shared" ref="AD171:AD188" si="471">C171+E171+G171+I171+K171+M171+AF171</f>
        <v>0.36000000000001009</v>
      </c>
      <c r="AE171" s="25">
        <v>138</v>
      </c>
      <c r="AF171" s="24">
        <f t="shared" si="367"/>
        <v>-3.9999999999992042E-2</v>
      </c>
      <c r="AG171" s="2"/>
      <c r="AH171" s="29"/>
    </row>
    <row r="172" spans="1:34" x14ac:dyDescent="0.25">
      <c r="A172" s="5">
        <v>44765</v>
      </c>
      <c r="B172" s="2">
        <v>20.03</v>
      </c>
      <c r="C172" s="18">
        <f t="shared" si="462"/>
        <v>5.0000000000000711E-2</v>
      </c>
      <c r="D172" s="67">
        <v>6.91</v>
      </c>
      <c r="E172" s="107">
        <f t="shared" si="369"/>
        <v>0</v>
      </c>
      <c r="F172" s="2">
        <v>69.48</v>
      </c>
      <c r="G172" s="107">
        <f t="shared" si="370"/>
        <v>7.000000000000739E-2</v>
      </c>
      <c r="H172" s="2">
        <v>2.48</v>
      </c>
      <c r="I172" s="107">
        <f t="shared" si="371"/>
        <v>0</v>
      </c>
      <c r="J172" s="2">
        <v>71.88</v>
      </c>
      <c r="K172" s="18">
        <f t="shared" si="372"/>
        <v>0.12999999999999545</v>
      </c>
      <c r="L172" s="2">
        <v>48.34</v>
      </c>
      <c r="M172" s="18">
        <f t="shared" ref="M172" si="472">L172-L171</f>
        <v>7.0000000000000284E-2</v>
      </c>
      <c r="N172" s="18">
        <f t="shared" ref="N172" si="473">G172-M172</f>
        <v>7.1054273576010019E-15</v>
      </c>
      <c r="O172" s="114">
        <v>68721</v>
      </c>
      <c r="P172" s="17">
        <f t="shared" si="463"/>
        <v>7</v>
      </c>
      <c r="Q172" s="18">
        <f t="shared" si="464"/>
        <v>2.0279000000000003</v>
      </c>
      <c r="R172" s="114">
        <v>1390</v>
      </c>
      <c r="S172" s="17">
        <f t="shared" ref="S172" si="474">R172-R171</f>
        <v>2</v>
      </c>
      <c r="T172" s="17"/>
      <c r="U172" s="2">
        <v>33618</v>
      </c>
      <c r="V172" s="17">
        <f t="shared" ref="V172" si="475">U172-U171</f>
        <v>2</v>
      </c>
      <c r="W172" s="18">
        <f t="shared" ref="W172" si="476">V172*$C$3</f>
        <v>0.6</v>
      </c>
      <c r="X172" s="2">
        <v>12077</v>
      </c>
      <c r="Y172" s="108">
        <f t="shared" ref="Y172" si="477">X172-X171</f>
        <v>0</v>
      </c>
      <c r="Z172" s="18">
        <f t="shared" ref="Z172" si="478">Y172*$C$5*$G$4</f>
        <v>0</v>
      </c>
      <c r="AA172" s="2">
        <v>867.71</v>
      </c>
      <c r="AB172" s="17">
        <f t="shared" ref="AB172" si="479">AA172-AA171</f>
        <v>0.40000000000009095</v>
      </c>
      <c r="AC172" s="17"/>
      <c r="AD172" s="24">
        <f t="shared" si="471"/>
        <v>0.32000000000000384</v>
      </c>
      <c r="AE172" s="25">
        <v>138</v>
      </c>
      <c r="AF172" s="24">
        <f t="shared" si="367"/>
        <v>0</v>
      </c>
      <c r="AG172" s="2"/>
      <c r="AH172" s="29"/>
    </row>
    <row r="173" spans="1:34" x14ac:dyDescent="0.25">
      <c r="A173" s="5">
        <v>44766</v>
      </c>
      <c r="B173" s="2">
        <v>20.12</v>
      </c>
      <c r="C173" s="18">
        <f t="shared" si="462"/>
        <v>8.9999999999999858E-2</v>
      </c>
      <c r="D173" s="67">
        <v>6.91</v>
      </c>
      <c r="E173" s="107">
        <f t="shared" si="369"/>
        <v>0</v>
      </c>
      <c r="F173" s="2">
        <v>69.58</v>
      </c>
      <c r="G173" s="107">
        <f t="shared" si="370"/>
        <v>9.9999999999994316E-2</v>
      </c>
      <c r="H173" s="2">
        <v>2.48</v>
      </c>
      <c r="I173" s="107">
        <f t="shared" si="371"/>
        <v>0</v>
      </c>
      <c r="J173" s="2">
        <v>72.06</v>
      </c>
      <c r="K173" s="18">
        <f t="shared" si="372"/>
        <v>0.18000000000000682</v>
      </c>
      <c r="L173" s="2">
        <v>48.44</v>
      </c>
      <c r="M173" s="18">
        <f t="shared" ref="M173" si="480">L173-L172</f>
        <v>9.9999999999994316E-2</v>
      </c>
      <c r="N173" s="18">
        <f t="shared" ref="N173" si="481">G173-M173</f>
        <v>0</v>
      </c>
      <c r="O173" s="114">
        <v>68732</v>
      </c>
      <c r="P173" s="17">
        <f t="shared" si="463"/>
        <v>11</v>
      </c>
      <c r="Q173" s="18">
        <f t="shared" si="464"/>
        <v>3.1867000000000001</v>
      </c>
      <c r="R173" s="114">
        <v>1394</v>
      </c>
      <c r="S173" s="17">
        <f t="shared" ref="S173" si="482">R173-R172</f>
        <v>4</v>
      </c>
      <c r="T173" s="17"/>
      <c r="U173" s="2">
        <v>33626</v>
      </c>
      <c r="V173" s="17">
        <f t="shared" ref="V173" si="483">U173-U172</f>
        <v>8</v>
      </c>
      <c r="W173" s="18">
        <f t="shared" ref="W173" si="484">V173*$C$3</f>
        <v>2.4</v>
      </c>
      <c r="X173" s="2">
        <v>12078</v>
      </c>
      <c r="Y173" s="108">
        <f t="shared" ref="Y173" si="485">X173-X172</f>
        <v>1</v>
      </c>
      <c r="Z173" s="18">
        <f t="shared" ref="Z173" si="486">Y173*$C$5*$G$4</f>
        <v>0.97840768094534702</v>
      </c>
      <c r="AA173" s="2">
        <v>868.36</v>
      </c>
      <c r="AB173" s="17">
        <f t="shared" ref="AB173" si="487">AA173-AA172</f>
        <v>0.64999999999997726</v>
      </c>
      <c r="AC173" s="17"/>
      <c r="AD173" s="24">
        <f t="shared" si="471"/>
        <v>0.46999999999999531</v>
      </c>
      <c r="AE173" s="25">
        <v>138</v>
      </c>
      <c r="AF173" s="24">
        <f t="shared" si="367"/>
        <v>0</v>
      </c>
      <c r="AG173" s="2"/>
      <c r="AH173" s="29"/>
    </row>
    <row r="174" spans="1:34" x14ac:dyDescent="0.25">
      <c r="A174" s="5">
        <v>44767</v>
      </c>
      <c r="B174" s="2">
        <v>20.190000000000001</v>
      </c>
      <c r="C174" s="18">
        <f t="shared" si="462"/>
        <v>7.0000000000000284E-2</v>
      </c>
      <c r="D174" s="67">
        <v>6.92</v>
      </c>
      <c r="E174" s="107">
        <f t="shared" si="369"/>
        <v>9.9999999999997868E-3</v>
      </c>
      <c r="F174" s="2">
        <v>69.83</v>
      </c>
      <c r="G174" s="107">
        <f t="shared" si="370"/>
        <v>0.25</v>
      </c>
      <c r="H174" s="2">
        <v>2.48</v>
      </c>
      <c r="I174" s="107">
        <f t="shared" si="371"/>
        <v>0</v>
      </c>
      <c r="J174" s="2">
        <v>72.209999999999994</v>
      </c>
      <c r="K174" s="18">
        <f t="shared" si="372"/>
        <v>0.14999999999999147</v>
      </c>
      <c r="L174" s="2">
        <v>48.54</v>
      </c>
      <c r="M174" s="18">
        <f t="shared" ref="M174" si="488">L174-L173</f>
        <v>0.10000000000000142</v>
      </c>
      <c r="N174" s="18">
        <f t="shared" ref="N174" si="489">G174-M174</f>
        <v>0.14999999999999858</v>
      </c>
      <c r="O174" s="114">
        <v>68742</v>
      </c>
      <c r="P174" s="17">
        <f t="shared" si="463"/>
        <v>10</v>
      </c>
      <c r="Q174" s="18">
        <f t="shared" si="464"/>
        <v>2.8970000000000002</v>
      </c>
      <c r="R174" s="114">
        <v>1397</v>
      </c>
      <c r="S174" s="17">
        <f t="shared" ref="S174" si="490">R174-R173</f>
        <v>3</v>
      </c>
      <c r="T174" s="17"/>
      <c r="U174" s="2">
        <v>33632</v>
      </c>
      <c r="V174" s="17">
        <f t="shared" ref="V174" si="491">U174-U173</f>
        <v>6</v>
      </c>
      <c r="W174" s="18">
        <f t="shared" ref="W174" si="492">V174*$C$3</f>
        <v>1.7999999999999998</v>
      </c>
      <c r="X174" s="2">
        <v>12079</v>
      </c>
      <c r="Y174" s="108">
        <f t="shared" ref="Y174" si="493">X174-X173</f>
        <v>1</v>
      </c>
      <c r="Z174" s="18">
        <f t="shared" ref="Z174" si="494">Y174*$C$5*$G$4</f>
        <v>0.97840768094534702</v>
      </c>
      <c r="AA174" s="2">
        <v>869.62</v>
      </c>
      <c r="AB174" s="17">
        <f t="shared" ref="AB174" si="495">AA174-AA173</f>
        <v>1.2599999999999909</v>
      </c>
      <c r="AC174" s="17"/>
      <c r="AD174" s="24">
        <f t="shared" si="471"/>
        <v>0.82000000000000206</v>
      </c>
      <c r="AE174" s="25">
        <v>138.24</v>
      </c>
      <c r="AF174" s="24">
        <f t="shared" si="367"/>
        <v>0.24000000000000909</v>
      </c>
      <c r="AG174" s="2"/>
      <c r="AH174" s="29"/>
    </row>
    <row r="175" spans="1:34" x14ac:dyDescent="0.25">
      <c r="A175" s="5">
        <v>44768</v>
      </c>
      <c r="B175" s="2">
        <v>20.22</v>
      </c>
      <c r="C175" s="18">
        <f t="shared" si="462"/>
        <v>2.9999999999997584E-2</v>
      </c>
      <c r="D175" s="67">
        <v>6.93</v>
      </c>
      <c r="E175" s="107">
        <f t="shared" si="369"/>
        <v>9.9999999999997868E-3</v>
      </c>
      <c r="F175" s="2">
        <v>69.94</v>
      </c>
      <c r="G175" s="107">
        <f t="shared" si="370"/>
        <v>0.10999999999999943</v>
      </c>
      <c r="H175" s="2">
        <v>2.48</v>
      </c>
      <c r="I175" s="107">
        <f t="shared" si="371"/>
        <v>0</v>
      </c>
      <c r="J175" s="2">
        <v>72.349999999999994</v>
      </c>
      <c r="K175" s="18">
        <f t="shared" si="372"/>
        <v>0.14000000000000057</v>
      </c>
      <c r="L175" s="2">
        <v>48.63</v>
      </c>
      <c r="M175" s="18">
        <f t="shared" ref="M175" si="496">L175-L174</f>
        <v>9.0000000000003411E-2</v>
      </c>
      <c r="N175" s="18">
        <f t="shared" ref="N175" si="497">G175-M175</f>
        <v>1.9999999999996021E-2</v>
      </c>
      <c r="O175" s="114">
        <v>68752</v>
      </c>
      <c r="P175" s="17">
        <f t="shared" si="463"/>
        <v>10</v>
      </c>
      <c r="Q175" s="18">
        <f t="shared" si="464"/>
        <v>2.8970000000000002</v>
      </c>
      <c r="R175" s="114">
        <v>1401</v>
      </c>
      <c r="S175" s="17">
        <f t="shared" ref="S175" si="498">R175-R174</f>
        <v>4</v>
      </c>
      <c r="T175" s="17"/>
      <c r="U175" s="2">
        <v>33634</v>
      </c>
      <c r="V175" s="17">
        <f t="shared" ref="V175" si="499">U175-U174</f>
        <v>2</v>
      </c>
      <c r="W175" s="18">
        <f t="shared" ref="W175" si="500">V175*$C$3</f>
        <v>0.6</v>
      </c>
      <c r="X175" s="2">
        <v>12080</v>
      </c>
      <c r="Y175" s="108">
        <f t="shared" ref="Y175" si="501">X175-X174</f>
        <v>1</v>
      </c>
      <c r="Z175" s="18">
        <f t="shared" ref="Z175" si="502">Y175*$C$5*$G$4</f>
        <v>0.97840768094534702</v>
      </c>
      <c r="AA175" s="2">
        <v>870.13</v>
      </c>
      <c r="AB175" s="17">
        <f t="shared" ref="AB175" si="503">AA175-AA174</f>
        <v>0.50999999999999091</v>
      </c>
      <c r="AC175" s="17"/>
      <c r="AD175" s="24">
        <f t="shared" si="471"/>
        <v>0.33999999999998032</v>
      </c>
      <c r="AE175" s="25">
        <v>138.19999999999999</v>
      </c>
      <c r="AF175" s="24">
        <f t="shared" si="367"/>
        <v>-4.0000000000020464E-2</v>
      </c>
      <c r="AG175" s="2"/>
      <c r="AH175" s="29"/>
    </row>
    <row r="176" spans="1:34" x14ac:dyDescent="0.25">
      <c r="A176" s="5">
        <v>44769</v>
      </c>
      <c r="B176" s="2">
        <v>20.260000000000002</v>
      </c>
      <c r="C176" s="18">
        <f t="shared" si="462"/>
        <v>4.00000000000027E-2</v>
      </c>
      <c r="D176" s="67">
        <v>7</v>
      </c>
      <c r="E176" s="107">
        <f t="shared" si="369"/>
        <v>7.0000000000000284E-2</v>
      </c>
      <c r="F176" s="2">
        <v>70.12</v>
      </c>
      <c r="G176" s="107">
        <f t="shared" si="370"/>
        <v>0.18000000000000682</v>
      </c>
      <c r="H176" s="2">
        <v>2.5</v>
      </c>
      <c r="I176" s="107">
        <f t="shared" si="371"/>
        <v>2.0000000000000018E-2</v>
      </c>
      <c r="J176" s="2">
        <v>72.48</v>
      </c>
      <c r="K176" s="18">
        <f t="shared" si="372"/>
        <v>0.13000000000000966</v>
      </c>
      <c r="L176" s="2">
        <v>48.69</v>
      </c>
      <c r="M176" s="18">
        <f t="shared" ref="M176" si="504">L176-L175</f>
        <v>5.9999999999995168E-2</v>
      </c>
      <c r="N176" s="18">
        <f t="shared" ref="N176" si="505">G176-M176</f>
        <v>0.12000000000001165</v>
      </c>
      <c r="O176" s="114">
        <v>68762</v>
      </c>
      <c r="P176" s="17">
        <f t="shared" si="463"/>
        <v>10</v>
      </c>
      <c r="Q176" s="18">
        <f t="shared" si="464"/>
        <v>2.8970000000000002</v>
      </c>
      <c r="R176" s="114">
        <v>1405</v>
      </c>
      <c r="S176" s="17">
        <f t="shared" ref="S176" si="506">R176-R175</f>
        <v>4</v>
      </c>
      <c r="T176" s="17"/>
      <c r="U176" s="2">
        <v>33637</v>
      </c>
      <c r="V176" s="17">
        <f t="shared" ref="V176" si="507">U176-U175</f>
        <v>3</v>
      </c>
      <c r="W176" s="18">
        <f t="shared" ref="W176" si="508">V176*$C$3</f>
        <v>0.89999999999999991</v>
      </c>
      <c r="X176" s="2">
        <v>12082</v>
      </c>
      <c r="Y176" s="108">
        <f t="shared" ref="Y176" si="509">X176-X175</f>
        <v>2</v>
      </c>
      <c r="Z176" s="18">
        <f t="shared" ref="Z176" si="510">Y176*$C$5*$G$4</f>
        <v>1.956815361890694</v>
      </c>
      <c r="AA176" s="2">
        <v>870.84</v>
      </c>
      <c r="AB176" s="17">
        <f t="shared" ref="AB176" si="511">AA176-AA175</f>
        <v>0.71000000000003638</v>
      </c>
      <c r="AC176" s="17"/>
      <c r="AD176" s="24">
        <f t="shared" si="471"/>
        <v>0.50000000000001465</v>
      </c>
      <c r="AE176" s="25">
        <v>138.19999999999999</v>
      </c>
      <c r="AF176" s="24">
        <f t="shared" si="367"/>
        <v>0</v>
      </c>
      <c r="AG176" s="2"/>
      <c r="AH176" s="29"/>
    </row>
    <row r="177" spans="1:34" x14ac:dyDescent="0.25">
      <c r="A177" s="5">
        <v>44770</v>
      </c>
      <c r="B177" s="2">
        <v>20.32</v>
      </c>
      <c r="C177" s="18">
        <f t="shared" si="462"/>
        <v>5.9999999999998721E-2</v>
      </c>
      <c r="D177" s="67">
        <v>7.02</v>
      </c>
      <c r="E177" s="107">
        <f t="shared" si="369"/>
        <v>1.9999999999999574E-2</v>
      </c>
      <c r="F177" s="2">
        <v>70.22</v>
      </c>
      <c r="G177" s="107">
        <f t="shared" si="370"/>
        <v>9.9999999999994316E-2</v>
      </c>
      <c r="H177" s="2">
        <v>2.5</v>
      </c>
      <c r="I177" s="107">
        <f t="shared" si="371"/>
        <v>0</v>
      </c>
      <c r="J177" s="2">
        <v>72.63</v>
      </c>
      <c r="K177" s="18">
        <f t="shared" si="372"/>
        <v>0.14999999999999147</v>
      </c>
      <c r="L177" s="2">
        <v>48.77</v>
      </c>
      <c r="M177" s="18">
        <f t="shared" ref="M177" si="512">L177-L176</f>
        <v>8.00000000000054E-2</v>
      </c>
      <c r="N177" s="18">
        <f t="shared" ref="N177" si="513">G177-M177</f>
        <v>1.9999999999988916E-2</v>
      </c>
      <c r="O177" s="114">
        <v>68771</v>
      </c>
      <c r="P177" s="17">
        <f t="shared" si="463"/>
        <v>9</v>
      </c>
      <c r="Q177" s="18">
        <f t="shared" si="464"/>
        <v>2.6073</v>
      </c>
      <c r="R177" s="114">
        <v>1410</v>
      </c>
      <c r="S177" s="17">
        <f t="shared" ref="S177" si="514">R177-R176</f>
        <v>5</v>
      </c>
      <c r="T177" s="17"/>
      <c r="U177" s="2">
        <v>33641</v>
      </c>
      <c r="V177" s="17">
        <f t="shared" ref="V177" si="515">U177-U176</f>
        <v>4</v>
      </c>
      <c r="W177" s="18">
        <f t="shared" ref="W177" si="516">V177*$C$3</f>
        <v>1.2</v>
      </c>
      <c r="X177" s="2">
        <v>12082</v>
      </c>
      <c r="Y177" s="108">
        <f t="shared" ref="Y177" si="517">X177-X176</f>
        <v>0</v>
      </c>
      <c r="Z177" s="18">
        <f t="shared" ref="Z177" si="518">Y177*$C$5*$G$4</f>
        <v>0</v>
      </c>
      <c r="AA177" s="2">
        <v>871.35</v>
      </c>
      <c r="AB177" s="17">
        <f t="shared" ref="AB177" si="519">AA177-AA176</f>
        <v>0.50999999999999091</v>
      </c>
      <c r="AC177" s="17"/>
      <c r="AD177" s="24">
        <f t="shared" si="471"/>
        <v>0.40999999999998948</v>
      </c>
      <c r="AE177" s="25">
        <v>138.19999999999999</v>
      </c>
      <c r="AF177" s="24">
        <f t="shared" si="367"/>
        <v>0</v>
      </c>
      <c r="AG177" s="2"/>
      <c r="AH177" s="29"/>
    </row>
    <row r="178" spans="1:34" x14ac:dyDescent="0.25">
      <c r="A178" s="5">
        <v>44771</v>
      </c>
      <c r="B178" s="2">
        <v>20.350000000000001</v>
      </c>
      <c r="C178" s="18">
        <f t="shared" si="462"/>
        <v>3.0000000000001137E-2</v>
      </c>
      <c r="D178" s="67">
        <v>7.04</v>
      </c>
      <c r="E178" s="107">
        <f t="shared" si="369"/>
        <v>2.0000000000000462E-2</v>
      </c>
      <c r="F178" s="2">
        <v>70.39</v>
      </c>
      <c r="G178" s="107">
        <f t="shared" si="370"/>
        <v>0.17000000000000171</v>
      </c>
      <c r="H178" s="2">
        <v>2.5</v>
      </c>
      <c r="I178" s="107">
        <f t="shared" si="371"/>
        <v>0</v>
      </c>
      <c r="J178" s="2">
        <v>72.84</v>
      </c>
      <c r="K178" s="18">
        <f t="shared" si="372"/>
        <v>0.21000000000000796</v>
      </c>
      <c r="L178" s="2">
        <v>48.86</v>
      </c>
      <c r="M178" s="18">
        <f t="shared" ref="M178" si="520">L178-L177</f>
        <v>8.9999999999996305E-2</v>
      </c>
      <c r="N178" s="18">
        <f t="shared" ref="N178" si="521">G178-M178</f>
        <v>8.00000000000054E-2</v>
      </c>
      <c r="O178" s="114">
        <v>68779</v>
      </c>
      <c r="P178" s="17">
        <f t="shared" si="463"/>
        <v>8</v>
      </c>
      <c r="Q178" s="18">
        <f t="shared" si="464"/>
        <v>2.3176000000000001</v>
      </c>
      <c r="R178" s="114">
        <v>1414</v>
      </c>
      <c r="S178" s="17">
        <f t="shared" ref="S178" si="522">R178-R177</f>
        <v>4</v>
      </c>
      <c r="T178" s="17"/>
      <c r="U178" s="2">
        <v>33644</v>
      </c>
      <c r="V178" s="17">
        <f t="shared" ref="V178" si="523">U178-U177</f>
        <v>3</v>
      </c>
      <c r="W178" s="18">
        <f t="shared" ref="W178" si="524">V178*$C$3</f>
        <v>0.89999999999999991</v>
      </c>
      <c r="X178" s="2">
        <v>12084</v>
      </c>
      <c r="Y178" s="108">
        <f t="shared" ref="Y178" si="525">X178-X177</f>
        <v>2</v>
      </c>
      <c r="Z178" s="18">
        <f t="shared" ref="Z178" si="526">Y178*$C$5*$G$4</f>
        <v>1.956815361890694</v>
      </c>
      <c r="AA178" s="2">
        <v>872.32</v>
      </c>
      <c r="AB178" s="17">
        <f t="shared" ref="AB178" si="527">AA178-AA177</f>
        <v>0.97000000000002728</v>
      </c>
      <c r="AC178" s="17"/>
      <c r="AD178" s="24">
        <f t="shared" si="471"/>
        <v>0.85000000000002007</v>
      </c>
      <c r="AE178" s="25">
        <v>138.53</v>
      </c>
      <c r="AF178" s="24">
        <f t="shared" si="367"/>
        <v>0.33000000000001251</v>
      </c>
      <c r="AG178" s="2"/>
      <c r="AH178" s="29"/>
    </row>
    <row r="179" spans="1:34" x14ac:dyDescent="0.25">
      <c r="A179" s="5">
        <v>44772</v>
      </c>
      <c r="B179" s="2">
        <v>20.43</v>
      </c>
      <c r="C179" s="18">
        <f t="shared" si="462"/>
        <v>7.9999999999998295E-2</v>
      </c>
      <c r="D179" s="67">
        <v>7.05</v>
      </c>
      <c r="E179" s="107">
        <f t="shared" si="369"/>
        <v>9.9999999999997868E-3</v>
      </c>
      <c r="F179" s="2">
        <v>70.52</v>
      </c>
      <c r="G179" s="107">
        <f t="shared" si="370"/>
        <v>0.12999999999999545</v>
      </c>
      <c r="H179" s="2">
        <v>2.5099999999999998</v>
      </c>
      <c r="I179" s="107">
        <f t="shared" si="371"/>
        <v>9.9999999999997868E-3</v>
      </c>
      <c r="J179" s="2">
        <v>73.040000000000006</v>
      </c>
      <c r="K179" s="18">
        <f t="shared" si="372"/>
        <v>0.20000000000000284</v>
      </c>
      <c r="L179" s="2">
        <v>48.97</v>
      </c>
      <c r="M179" s="18">
        <f t="shared" ref="M179" si="528">L179-L178</f>
        <v>0.10999999999999943</v>
      </c>
      <c r="N179" s="18">
        <f t="shared" ref="N179" si="529">G179-M179</f>
        <v>1.9999999999996021E-2</v>
      </c>
      <c r="O179" s="114">
        <v>68788</v>
      </c>
      <c r="P179" s="17">
        <f t="shared" si="463"/>
        <v>9</v>
      </c>
      <c r="Q179" s="18">
        <f t="shared" si="464"/>
        <v>2.6073</v>
      </c>
      <c r="R179" s="114">
        <v>1417</v>
      </c>
      <c r="S179" s="17">
        <f t="shared" ref="S179" si="530">R179-R178</f>
        <v>3</v>
      </c>
      <c r="T179" s="17"/>
      <c r="U179" s="2">
        <v>33650</v>
      </c>
      <c r="V179" s="17">
        <f t="shared" ref="V179" si="531">U179-U178</f>
        <v>6</v>
      </c>
      <c r="W179" s="18">
        <f t="shared" ref="W179" si="532">V179*$C$3</f>
        <v>1.7999999999999998</v>
      </c>
      <c r="X179" s="2">
        <v>12085</v>
      </c>
      <c r="Y179" s="108">
        <f t="shared" ref="Y179" si="533">X179-X178</f>
        <v>1</v>
      </c>
      <c r="Z179" s="18">
        <f t="shared" ref="Z179" si="534">Y179*$C$5*$G$4</f>
        <v>0.97840768094534702</v>
      </c>
      <c r="AA179" s="2">
        <v>873.05</v>
      </c>
      <c r="AB179" s="17">
        <f t="shared" ref="AB179" si="535">AA179-AA178</f>
        <v>0.7299999999999045</v>
      </c>
      <c r="AC179" s="17"/>
      <c r="AD179" s="24">
        <f t="shared" si="471"/>
        <v>0.50999999999999446</v>
      </c>
      <c r="AE179" s="25">
        <v>138.5</v>
      </c>
      <c r="AF179" s="24">
        <f t="shared" si="367"/>
        <v>-3.0000000000001137E-2</v>
      </c>
      <c r="AG179" s="2"/>
      <c r="AH179" s="29"/>
    </row>
    <row r="180" spans="1:34" x14ac:dyDescent="0.25">
      <c r="A180" s="5">
        <v>44773</v>
      </c>
      <c r="B180" s="2">
        <v>20.49</v>
      </c>
      <c r="C180" s="18">
        <f t="shared" si="462"/>
        <v>5.9999999999998721E-2</v>
      </c>
      <c r="D180" s="67">
        <v>7.07</v>
      </c>
      <c r="E180" s="107">
        <f t="shared" si="369"/>
        <v>2.0000000000000462E-2</v>
      </c>
      <c r="F180" s="2">
        <v>70.69</v>
      </c>
      <c r="G180" s="107">
        <f t="shared" si="370"/>
        <v>0.17000000000000171</v>
      </c>
      <c r="H180" s="2">
        <v>2.5099999999999998</v>
      </c>
      <c r="I180" s="107">
        <f t="shared" si="371"/>
        <v>0</v>
      </c>
      <c r="J180" s="2">
        <v>73.239999999999995</v>
      </c>
      <c r="K180" s="18">
        <f t="shared" si="372"/>
        <v>0.19999999999998863</v>
      </c>
      <c r="L180" s="2">
        <v>49.07</v>
      </c>
      <c r="M180" s="18">
        <f t="shared" ref="M180" si="536">L180-L179</f>
        <v>0.10000000000000142</v>
      </c>
      <c r="N180" s="18">
        <f t="shared" ref="N180" si="537">G180-M180</f>
        <v>7.0000000000000284E-2</v>
      </c>
      <c r="O180" s="114">
        <v>68796</v>
      </c>
      <c r="P180" s="17">
        <f t="shared" si="463"/>
        <v>8</v>
      </c>
      <c r="Q180" s="18">
        <f t="shared" si="464"/>
        <v>2.3176000000000001</v>
      </c>
      <c r="R180" s="114">
        <v>1422</v>
      </c>
      <c r="S180" s="17">
        <f t="shared" ref="S180" si="538">R180-R179</f>
        <v>5</v>
      </c>
      <c r="T180" s="17"/>
      <c r="U180" s="2">
        <v>33654</v>
      </c>
      <c r="V180" s="17">
        <f t="shared" ref="V180" si="539">U180-U179</f>
        <v>4</v>
      </c>
      <c r="W180" s="18">
        <f t="shared" ref="W180" si="540">V180*$C$3</f>
        <v>1.2</v>
      </c>
      <c r="X180" s="2">
        <v>12086</v>
      </c>
      <c r="Y180" s="108">
        <f t="shared" ref="Y180" si="541">X180-X179</f>
        <v>1</v>
      </c>
      <c r="Z180" s="18">
        <f t="shared" ref="Z180" si="542">Y180*$C$5*$G$4</f>
        <v>0.97840768094534702</v>
      </c>
      <c r="AA180" s="2">
        <v>874.19</v>
      </c>
      <c r="AB180" s="17">
        <f t="shared" ref="AB180" si="543">AA180-AA179</f>
        <v>1.1400000000001</v>
      </c>
      <c r="AC180" s="17"/>
      <c r="AD180" s="24">
        <f t="shared" si="471"/>
        <v>0.88999999999999435</v>
      </c>
      <c r="AE180" s="25">
        <v>138.84</v>
      </c>
      <c r="AF180" s="24">
        <f t="shared" si="367"/>
        <v>0.34000000000000341</v>
      </c>
      <c r="AG180" s="2"/>
      <c r="AH180" s="29"/>
    </row>
    <row r="181" spans="1:34" x14ac:dyDescent="0.25">
      <c r="A181" s="32" t="s">
        <v>116</v>
      </c>
      <c r="B181" s="66"/>
      <c r="C181" s="34">
        <f>SUM(C151:C180)</f>
        <v>1.7200000000000006</v>
      </c>
      <c r="D181" s="61"/>
      <c r="E181" s="66">
        <f t="shared" ref="E181:K181" si="544">SUM(E151:E180)</f>
        <v>0.7300000000000002</v>
      </c>
      <c r="F181" s="61"/>
      <c r="G181" s="66">
        <f t="shared" si="544"/>
        <v>4.7400000000000055</v>
      </c>
      <c r="H181" s="61"/>
      <c r="I181" s="34">
        <f t="shared" si="544"/>
        <v>0.15249999999999941</v>
      </c>
      <c r="J181" s="61"/>
      <c r="K181" s="66">
        <f t="shared" si="544"/>
        <v>4.8924999999999983</v>
      </c>
      <c r="L181" s="61"/>
      <c r="M181" s="66">
        <f>SUM(M151:M180)</f>
        <v>2.9399999999999977</v>
      </c>
      <c r="N181" s="34">
        <f>SUM(N151:N180)</f>
        <v>1.8000000000000078</v>
      </c>
      <c r="O181" s="116"/>
      <c r="P181" s="33">
        <f>SUM(P151:P180)</f>
        <v>263</v>
      </c>
      <c r="Q181" s="109">
        <f>SUM(Q151:Q180)</f>
        <v>76.191099999999992</v>
      </c>
      <c r="R181" s="116" t="s">
        <v>63</v>
      </c>
      <c r="S181" s="34">
        <f>SUM(S151:S180)</f>
        <v>115</v>
      </c>
      <c r="T181" s="34"/>
      <c r="U181" s="34"/>
      <c r="V181" s="34">
        <f>SUM(V150:V180)</f>
        <v>146</v>
      </c>
      <c r="W181" s="109">
        <f>SUM(W151:W180)</f>
        <v>42.6</v>
      </c>
      <c r="X181" s="34"/>
      <c r="Y181" s="129">
        <f>SUM(Y150:Y180)</f>
        <v>36</v>
      </c>
      <c r="Z181" s="109">
        <f>SUM(Z151:Z180)</f>
        <v>33.265861152141781</v>
      </c>
      <c r="AA181" s="34"/>
      <c r="AB181" s="61">
        <f>SUM(AB151:AB180)</f>
        <v>24.100000000000023</v>
      </c>
      <c r="AC181" s="34"/>
      <c r="AD181" s="34">
        <f t="shared" si="471"/>
        <v>17.214999999999996</v>
      </c>
      <c r="AE181" s="61"/>
      <c r="AF181" s="34">
        <f>SUM(AF150:AF180)</f>
        <v>2.039999999999992</v>
      </c>
      <c r="AG181" s="34"/>
      <c r="AH181" s="29"/>
    </row>
    <row r="182" spans="1:34" x14ac:dyDescent="0.25">
      <c r="A182" s="5">
        <v>44774</v>
      </c>
      <c r="B182" s="2">
        <v>20.56</v>
      </c>
      <c r="C182" s="18">
        <f>B182-B180</f>
        <v>7.0000000000000284E-2</v>
      </c>
      <c r="D182" s="67">
        <v>7.1</v>
      </c>
      <c r="E182" s="107">
        <f>D182-D180</f>
        <v>2.9999999999999361E-2</v>
      </c>
      <c r="F182" s="2">
        <v>70.86</v>
      </c>
      <c r="G182" s="107">
        <f>F182-F180</f>
        <v>0.17000000000000171</v>
      </c>
      <c r="H182" s="2">
        <v>2.52</v>
      </c>
      <c r="I182" s="107">
        <f>H182-H180</f>
        <v>1.0000000000000231E-2</v>
      </c>
      <c r="J182" s="2">
        <v>73.44</v>
      </c>
      <c r="K182" s="18">
        <f>J182-J180</f>
        <v>0.20000000000000284</v>
      </c>
      <c r="L182" s="2">
        <v>49.18</v>
      </c>
      <c r="M182" s="18">
        <f>L182-L180</f>
        <v>0.10999999999999943</v>
      </c>
      <c r="N182" s="18">
        <f t="shared" ref="N182:N184" si="545">G182-M182</f>
        <v>6.0000000000002274E-2</v>
      </c>
      <c r="O182" s="114">
        <v>68805</v>
      </c>
      <c r="P182" s="17">
        <f>O182-O180</f>
        <v>9</v>
      </c>
      <c r="Q182" s="18">
        <f t="shared" ref="Q182:Q190" si="546">P182*$C$2</f>
        <v>2.6073</v>
      </c>
      <c r="R182" s="114">
        <v>1427</v>
      </c>
      <c r="S182" s="17">
        <f>R182-R180</f>
        <v>5</v>
      </c>
      <c r="T182" s="17"/>
      <c r="U182" s="2">
        <v>33659</v>
      </c>
      <c r="V182" s="17">
        <f>U182-U180</f>
        <v>5</v>
      </c>
      <c r="W182" s="18">
        <f t="shared" ref="W182:W183" si="547">V182*$C$3</f>
        <v>1.5</v>
      </c>
      <c r="X182" s="2">
        <v>12087</v>
      </c>
      <c r="Y182" s="108">
        <f>X182-X180</f>
        <v>1</v>
      </c>
      <c r="Z182" s="18">
        <f t="shared" ref="Z182:Z183" si="548">Y182*$C$5*$G$4</f>
        <v>0.97840768094534702</v>
      </c>
      <c r="AA182" s="2">
        <v>875.04</v>
      </c>
      <c r="AB182" s="17">
        <f>AA182-AA180</f>
        <v>0.84999999999990905</v>
      </c>
      <c r="AC182" s="17"/>
      <c r="AD182" s="24">
        <f t="shared" si="471"/>
        <v>0.59000000000000385</v>
      </c>
      <c r="AE182" s="25">
        <v>138.84</v>
      </c>
      <c r="AF182" s="24">
        <f>AE182-AE180</f>
        <v>0</v>
      </c>
      <c r="AG182" s="2"/>
      <c r="AH182" s="29"/>
    </row>
    <row r="183" spans="1:34" x14ac:dyDescent="0.25">
      <c r="A183" s="5">
        <v>44775</v>
      </c>
      <c r="B183" s="2">
        <v>20.65</v>
      </c>
      <c r="C183" s="18">
        <f t="shared" ref="C183:C203" si="549">B183-B182</f>
        <v>8.9999999999999858E-2</v>
      </c>
      <c r="D183" s="67">
        <v>7.1</v>
      </c>
      <c r="E183" s="107">
        <f t="shared" ref="E183:E196" si="550">D183-D182</f>
        <v>0</v>
      </c>
      <c r="F183" s="2">
        <v>70.94</v>
      </c>
      <c r="G183" s="107">
        <f t="shared" ref="G183:G203" si="551">F183-F182</f>
        <v>7.9999999999998295E-2</v>
      </c>
      <c r="H183" s="2">
        <v>2.52</v>
      </c>
      <c r="I183" s="107">
        <f t="shared" ref="I183:I202" si="552">H183-H182</f>
        <v>0</v>
      </c>
      <c r="J183" s="2">
        <v>73.53</v>
      </c>
      <c r="K183" s="18">
        <f t="shared" ref="K183:K203" si="553">J183-J182</f>
        <v>9.0000000000003411E-2</v>
      </c>
      <c r="L183" s="2">
        <v>49.24</v>
      </c>
      <c r="M183" s="18">
        <f t="shared" ref="M183:M184" si="554">L183-L182</f>
        <v>6.0000000000002274E-2</v>
      </c>
      <c r="N183" s="18">
        <f t="shared" si="545"/>
        <v>1.9999999999996021E-2</v>
      </c>
      <c r="O183" s="114">
        <v>68812</v>
      </c>
      <c r="P183" s="17">
        <f t="shared" ref="P183:P190" si="555">O183-O182</f>
        <v>7</v>
      </c>
      <c r="Q183" s="18">
        <f t="shared" si="546"/>
        <v>2.0279000000000003</v>
      </c>
      <c r="R183" s="114">
        <v>1429</v>
      </c>
      <c r="S183" s="17">
        <f t="shared" ref="S183" si="556">R183-R182</f>
        <v>2</v>
      </c>
      <c r="T183" s="17"/>
      <c r="U183" s="2">
        <v>33665</v>
      </c>
      <c r="V183" s="17">
        <f t="shared" ref="V183" si="557">U183-U182</f>
        <v>6</v>
      </c>
      <c r="W183" s="18">
        <f t="shared" si="547"/>
        <v>1.7999999999999998</v>
      </c>
      <c r="X183" s="2">
        <v>12087</v>
      </c>
      <c r="Y183" s="108">
        <f t="shared" ref="Y183" si="558">X183-X182</f>
        <v>0</v>
      </c>
      <c r="Z183" s="18">
        <f t="shared" si="548"/>
        <v>0</v>
      </c>
      <c r="AA183" s="2">
        <v>875.55</v>
      </c>
      <c r="AB183" s="17">
        <f t="shared" ref="AB183" si="559">AA183-AA182</f>
        <v>0.50999999999999091</v>
      </c>
      <c r="AC183" s="17"/>
      <c r="AD183" s="24">
        <f t="shared" si="471"/>
        <v>0.2800000000000118</v>
      </c>
      <c r="AE183" s="25">
        <v>138.80000000000001</v>
      </c>
      <c r="AF183" s="24">
        <f t="shared" ref="AF183:AF203" si="560">AE183-AE182</f>
        <v>-3.9999999999992042E-2</v>
      </c>
      <c r="AG183" s="2"/>
      <c r="AH183" s="29"/>
    </row>
    <row r="184" spans="1:34" x14ac:dyDescent="0.25">
      <c r="A184" s="5">
        <v>44776</v>
      </c>
      <c r="B184" s="2">
        <v>20.73</v>
      </c>
      <c r="C184" s="18">
        <f t="shared" si="549"/>
        <v>8.0000000000001847E-2</v>
      </c>
      <c r="D184" s="67">
        <v>7.15</v>
      </c>
      <c r="E184" s="107">
        <f t="shared" si="550"/>
        <v>5.0000000000000711E-2</v>
      </c>
      <c r="F184" s="2">
        <v>71.239999999999995</v>
      </c>
      <c r="G184" s="107">
        <f t="shared" si="551"/>
        <v>0.29999999999999716</v>
      </c>
      <c r="H184" s="2">
        <v>2.54</v>
      </c>
      <c r="I184" s="107">
        <f t="shared" si="552"/>
        <v>2.0000000000000018E-2</v>
      </c>
      <c r="J184" s="2">
        <v>73.69</v>
      </c>
      <c r="K184" s="18">
        <f t="shared" si="553"/>
        <v>0.15999999999999659</v>
      </c>
      <c r="L184" s="2">
        <v>49.35</v>
      </c>
      <c r="M184" s="18">
        <f t="shared" si="554"/>
        <v>0.10999999999999943</v>
      </c>
      <c r="N184" s="18">
        <f t="shared" si="545"/>
        <v>0.18999999999999773</v>
      </c>
      <c r="O184" s="114">
        <v>68824</v>
      </c>
      <c r="P184" s="17">
        <f t="shared" si="555"/>
        <v>12</v>
      </c>
      <c r="Q184" s="18">
        <f t="shared" si="546"/>
        <v>3.4763999999999999</v>
      </c>
      <c r="R184" s="114">
        <v>1434</v>
      </c>
      <c r="S184" s="17">
        <f t="shared" ref="S184" si="561">R184-R183</f>
        <v>5</v>
      </c>
      <c r="T184" s="17"/>
      <c r="U184" s="2">
        <v>33669</v>
      </c>
      <c r="V184" s="17">
        <f t="shared" ref="V184" si="562">U184-U183</f>
        <v>4</v>
      </c>
      <c r="W184" s="18">
        <f t="shared" ref="W184" si="563">V184*$C$3</f>
        <v>1.2</v>
      </c>
      <c r="X184" s="2">
        <v>12089</v>
      </c>
      <c r="Y184" s="108">
        <f t="shared" ref="Y184" si="564">X184-X183</f>
        <v>2</v>
      </c>
      <c r="Z184" s="18">
        <f t="shared" ref="Z184" si="565">Y184*$C$5*$G$4</f>
        <v>1.956815361890694</v>
      </c>
      <c r="AA184" s="2">
        <v>876.82</v>
      </c>
      <c r="AB184" s="17">
        <f t="shared" ref="AB184" si="566">AA184-AA183</f>
        <v>1.2700000000000955</v>
      </c>
      <c r="AC184" s="17"/>
      <c r="AD184" s="24">
        <f t="shared" si="471"/>
        <v>0.94999999999998552</v>
      </c>
      <c r="AE184" s="25">
        <v>139.03</v>
      </c>
      <c r="AF184" s="24">
        <f t="shared" si="560"/>
        <v>0.22999999999998977</v>
      </c>
      <c r="AG184" s="2"/>
      <c r="AH184" s="29"/>
    </row>
    <row r="185" spans="1:34" x14ac:dyDescent="0.25">
      <c r="A185" s="5">
        <v>44777</v>
      </c>
      <c r="B185" s="2">
        <v>20.83</v>
      </c>
      <c r="C185" s="18">
        <f t="shared" si="549"/>
        <v>9.9999999999997868E-2</v>
      </c>
      <c r="D185" s="67">
        <v>7.18</v>
      </c>
      <c r="E185" s="107">
        <f t="shared" si="550"/>
        <v>2.9999999999999361E-2</v>
      </c>
      <c r="F185" s="2">
        <v>71.33</v>
      </c>
      <c r="G185" s="107">
        <f t="shared" si="551"/>
        <v>9.0000000000003411E-2</v>
      </c>
      <c r="H185" s="2">
        <v>2.56</v>
      </c>
      <c r="I185" s="107">
        <f t="shared" si="552"/>
        <v>2.0000000000000018E-2</v>
      </c>
      <c r="J185" s="2">
        <v>73.84</v>
      </c>
      <c r="K185" s="18">
        <f t="shared" si="553"/>
        <v>0.15000000000000568</v>
      </c>
      <c r="L185" s="2">
        <v>49.39</v>
      </c>
      <c r="M185" s="18">
        <f t="shared" ref="M185" si="567">L185-L184</f>
        <v>3.9999999999999147E-2</v>
      </c>
      <c r="N185" s="18">
        <f t="shared" ref="N185" si="568">G185-M185</f>
        <v>5.0000000000004263E-2</v>
      </c>
      <c r="O185" s="114">
        <v>68833</v>
      </c>
      <c r="P185" s="17">
        <f t="shared" si="555"/>
        <v>9</v>
      </c>
      <c r="Q185" s="18">
        <f t="shared" si="546"/>
        <v>2.6073</v>
      </c>
      <c r="R185" s="114">
        <v>1438</v>
      </c>
      <c r="S185" s="17">
        <f t="shared" ref="S185" si="569">R185-R184</f>
        <v>4</v>
      </c>
      <c r="T185" s="17"/>
      <c r="U185" s="2">
        <v>33673</v>
      </c>
      <c r="V185" s="17">
        <f t="shared" ref="V185" si="570">U185-U184</f>
        <v>4</v>
      </c>
      <c r="W185" s="18">
        <f t="shared" ref="W185" si="571">V185*$C$3</f>
        <v>1.2</v>
      </c>
      <c r="X185" s="2">
        <v>12090</v>
      </c>
      <c r="Y185" s="108">
        <f t="shared" ref="Y185" si="572">X185-X184</f>
        <v>1</v>
      </c>
      <c r="Z185" s="18">
        <f t="shared" ref="Z185" si="573">Y185*$C$5*$G$4</f>
        <v>0.97840768094534702</v>
      </c>
      <c r="AA185" s="2">
        <v>877.64</v>
      </c>
      <c r="AB185" s="17">
        <f t="shared" ref="AB185" si="574">AA185-AA184</f>
        <v>0.81999999999993634</v>
      </c>
      <c r="AC185" s="17"/>
      <c r="AD185" s="24">
        <f t="shared" si="471"/>
        <v>0.53999999999999071</v>
      </c>
      <c r="AE185" s="25">
        <v>139.13999999999999</v>
      </c>
      <c r="AF185" s="24">
        <f t="shared" si="560"/>
        <v>0.10999999999998522</v>
      </c>
      <c r="AG185" s="2"/>
      <c r="AH185" s="29"/>
    </row>
    <row r="186" spans="1:34" x14ac:dyDescent="0.25">
      <c r="A186" s="5">
        <v>44778</v>
      </c>
      <c r="B186" s="2">
        <v>20.92</v>
      </c>
      <c r="C186" s="18">
        <f t="shared" si="549"/>
        <v>9.0000000000003411E-2</v>
      </c>
      <c r="D186" s="67">
        <v>7.2</v>
      </c>
      <c r="E186" s="107">
        <f t="shared" si="550"/>
        <v>2.0000000000000462E-2</v>
      </c>
      <c r="F186" s="2">
        <v>71.47</v>
      </c>
      <c r="G186" s="107">
        <f t="shared" si="551"/>
        <v>0.14000000000000057</v>
      </c>
      <c r="H186" s="2">
        <v>2.56</v>
      </c>
      <c r="I186" s="107">
        <f t="shared" si="552"/>
        <v>0</v>
      </c>
      <c r="J186" s="2">
        <v>73.97</v>
      </c>
      <c r="K186" s="18">
        <f t="shared" si="553"/>
        <v>0.12999999999999545</v>
      </c>
      <c r="L186" s="2">
        <v>49.45</v>
      </c>
      <c r="M186" s="18">
        <f t="shared" ref="M186" si="575">L186-L185</f>
        <v>6.0000000000002274E-2</v>
      </c>
      <c r="N186" s="18">
        <f t="shared" ref="N186" si="576">G186-M186</f>
        <v>7.9999999999998295E-2</v>
      </c>
      <c r="O186" s="114">
        <v>68842</v>
      </c>
      <c r="P186" s="17">
        <f t="shared" si="555"/>
        <v>9</v>
      </c>
      <c r="Q186" s="18">
        <f t="shared" si="546"/>
        <v>2.6073</v>
      </c>
      <c r="R186" s="114">
        <v>1442</v>
      </c>
      <c r="S186" s="17">
        <f t="shared" ref="S186" si="577">R186-R185</f>
        <v>4</v>
      </c>
      <c r="T186" s="17"/>
      <c r="U186" s="2">
        <v>33677</v>
      </c>
      <c r="V186" s="17">
        <f t="shared" ref="V186" si="578">U186-U185</f>
        <v>4</v>
      </c>
      <c r="W186" s="18">
        <f t="shared" ref="W186" si="579">V186*$C$3</f>
        <v>1.2</v>
      </c>
      <c r="X186" s="2">
        <v>12091</v>
      </c>
      <c r="Y186" s="108">
        <f t="shared" ref="Y186" si="580">X186-X185</f>
        <v>1</v>
      </c>
      <c r="Z186" s="18">
        <f t="shared" ref="Z186" si="581">Y186*$C$5*$G$4</f>
        <v>0.97840768094534702</v>
      </c>
      <c r="AA186" s="2">
        <v>878.36</v>
      </c>
      <c r="AB186" s="17">
        <f t="shared" ref="AB186" si="582">AA186-AA185</f>
        <v>0.72000000000002728</v>
      </c>
      <c r="AC186" s="17"/>
      <c r="AD186" s="24">
        <f t="shared" si="471"/>
        <v>0.40000000000001013</v>
      </c>
      <c r="AE186" s="25">
        <v>139.1</v>
      </c>
      <c r="AF186" s="24">
        <f t="shared" si="560"/>
        <v>-3.9999999999992042E-2</v>
      </c>
      <c r="AG186" s="2"/>
      <c r="AH186" s="29"/>
    </row>
    <row r="187" spans="1:34" x14ac:dyDescent="0.25">
      <c r="A187" s="5">
        <v>44779</v>
      </c>
      <c r="B187" s="2">
        <v>21.02</v>
      </c>
      <c r="C187" s="18">
        <f t="shared" si="549"/>
        <v>9.9999999999997868E-2</v>
      </c>
      <c r="D187" s="67">
        <v>7.25</v>
      </c>
      <c r="E187" s="107">
        <f t="shared" si="550"/>
        <v>4.9999999999999822E-2</v>
      </c>
      <c r="F187" s="2">
        <v>71.55</v>
      </c>
      <c r="G187" s="107">
        <f t="shared" si="551"/>
        <v>7.9999999999998295E-2</v>
      </c>
      <c r="H187" s="2">
        <v>2.57</v>
      </c>
      <c r="I187" s="107">
        <f t="shared" si="552"/>
        <v>9.9999999999997868E-3</v>
      </c>
      <c r="J187" s="2">
        <v>74.12</v>
      </c>
      <c r="K187" s="18">
        <f t="shared" si="553"/>
        <v>0.15000000000000568</v>
      </c>
      <c r="L187" s="2">
        <v>49.51</v>
      </c>
      <c r="M187" s="18">
        <f t="shared" ref="M187" si="583">L187-L186</f>
        <v>5.9999999999995168E-2</v>
      </c>
      <c r="N187" s="18">
        <f t="shared" ref="N187" si="584">G187-M187</f>
        <v>2.0000000000003126E-2</v>
      </c>
      <c r="O187" s="114">
        <v>68853</v>
      </c>
      <c r="P187" s="17">
        <f t="shared" si="555"/>
        <v>11</v>
      </c>
      <c r="Q187" s="18">
        <f t="shared" si="546"/>
        <v>3.1867000000000001</v>
      </c>
      <c r="R187" s="114">
        <v>1447</v>
      </c>
      <c r="S187" s="17">
        <f t="shared" ref="S187" si="585">R187-R186</f>
        <v>5</v>
      </c>
      <c r="T187" s="17"/>
      <c r="U187" s="2">
        <v>33683</v>
      </c>
      <c r="V187" s="17">
        <f t="shared" ref="V187" si="586">U187-U186</f>
        <v>6</v>
      </c>
      <c r="W187" s="18">
        <f t="shared" ref="W187" si="587">V187*$C$3</f>
        <v>1.7999999999999998</v>
      </c>
      <c r="X187" s="2">
        <v>12092</v>
      </c>
      <c r="Y187" s="108">
        <f t="shared" ref="Y187" si="588">X187-X186</f>
        <v>1</v>
      </c>
      <c r="Z187" s="18">
        <f t="shared" ref="Z187" si="589">Y187*$C$5*$G$4</f>
        <v>0.97840768094534702</v>
      </c>
      <c r="AA187" s="2">
        <v>879.12</v>
      </c>
      <c r="AB187" s="17">
        <f t="shared" ref="AB187" si="590">AA187-AA186</f>
        <v>0.75999999999999091</v>
      </c>
      <c r="AC187" s="17"/>
      <c r="AD187" s="24">
        <f t="shared" si="471"/>
        <v>0.44999999999999662</v>
      </c>
      <c r="AE187" s="25">
        <v>139.1</v>
      </c>
      <c r="AF187" s="24">
        <f t="shared" si="560"/>
        <v>0</v>
      </c>
      <c r="AG187" s="2"/>
      <c r="AH187" s="29"/>
    </row>
    <row r="188" spans="1:34" x14ac:dyDescent="0.25">
      <c r="A188" s="5">
        <v>44780</v>
      </c>
      <c r="B188" s="2">
        <v>21.07</v>
      </c>
      <c r="C188" s="18">
        <f t="shared" si="549"/>
        <v>5.0000000000000711E-2</v>
      </c>
      <c r="D188" s="67">
        <v>7.27</v>
      </c>
      <c r="E188" s="107">
        <f t="shared" si="550"/>
        <v>1.9999999999999574E-2</v>
      </c>
      <c r="F188" s="2">
        <v>71.77</v>
      </c>
      <c r="G188" s="107">
        <f t="shared" si="551"/>
        <v>0.21999999999999886</v>
      </c>
      <c r="H188" s="2">
        <v>2.57</v>
      </c>
      <c r="I188" s="107">
        <f t="shared" si="552"/>
        <v>0</v>
      </c>
      <c r="J188" s="2">
        <v>74.37</v>
      </c>
      <c r="K188" s="18">
        <f t="shared" si="553"/>
        <v>0.25</v>
      </c>
      <c r="L188" s="2">
        <v>49.64</v>
      </c>
      <c r="M188" s="18">
        <f t="shared" ref="M188" si="591">L188-L187</f>
        <v>0.13000000000000256</v>
      </c>
      <c r="N188" s="18">
        <f t="shared" ref="N188" si="592">G188-M188</f>
        <v>8.9999999999996305E-2</v>
      </c>
      <c r="O188" s="114">
        <v>68866</v>
      </c>
      <c r="P188" s="17">
        <f t="shared" si="555"/>
        <v>13</v>
      </c>
      <c r="Q188" s="18">
        <f t="shared" si="546"/>
        <v>3.7661000000000002</v>
      </c>
      <c r="R188" s="114">
        <v>1452</v>
      </c>
      <c r="S188" s="17">
        <f t="shared" ref="S188" si="593">R188-R187</f>
        <v>5</v>
      </c>
      <c r="T188" s="17"/>
      <c r="U188" s="2">
        <v>33688</v>
      </c>
      <c r="V188" s="17">
        <f t="shared" ref="V188" si="594">U188-U187</f>
        <v>5</v>
      </c>
      <c r="W188" s="18">
        <f t="shared" ref="W188" si="595">V188*$C$3</f>
        <v>1.5</v>
      </c>
      <c r="X188" s="2">
        <v>12093</v>
      </c>
      <c r="Y188" s="108">
        <f t="shared" ref="Y188" si="596">X188-X187</f>
        <v>1</v>
      </c>
      <c r="Z188" s="18">
        <f t="shared" ref="Z188" si="597">Y188*$C$5*$G$4</f>
        <v>0.97840768094534702</v>
      </c>
      <c r="AA188" s="2">
        <v>880.12</v>
      </c>
      <c r="AB188" s="17">
        <f t="shared" ref="AB188" si="598">AA188-AA187</f>
        <v>1</v>
      </c>
      <c r="AC188" s="17"/>
      <c r="AD188" s="24">
        <f t="shared" si="471"/>
        <v>0.67000000000000171</v>
      </c>
      <c r="AE188" s="25">
        <v>139.1</v>
      </c>
      <c r="AF188" s="24">
        <f t="shared" si="560"/>
        <v>0</v>
      </c>
      <c r="AG188" s="2"/>
      <c r="AH188" s="29"/>
    </row>
    <row r="189" spans="1:34" x14ac:dyDescent="0.25">
      <c r="A189" s="5">
        <v>44781</v>
      </c>
      <c r="B189" s="2">
        <v>21.1</v>
      </c>
      <c r="C189" s="18">
        <f t="shared" si="549"/>
        <v>3.0000000000001137E-2</v>
      </c>
      <c r="D189" s="67">
        <v>7.28</v>
      </c>
      <c r="E189" s="107">
        <f t="shared" si="550"/>
        <v>1.0000000000000675E-2</v>
      </c>
      <c r="F189" s="2">
        <v>71.86</v>
      </c>
      <c r="G189" s="107">
        <f t="shared" si="551"/>
        <v>9.0000000000003411E-2</v>
      </c>
      <c r="H189" s="2">
        <v>2.57</v>
      </c>
      <c r="I189" s="107">
        <f t="shared" si="552"/>
        <v>0</v>
      </c>
      <c r="J189" s="2">
        <v>74.52</v>
      </c>
      <c r="K189" s="18">
        <f t="shared" si="553"/>
        <v>0.14999999999999147</v>
      </c>
      <c r="L189" s="2">
        <v>49.73</v>
      </c>
      <c r="M189" s="18">
        <f t="shared" ref="M189" si="599">L189-L188</f>
        <v>8.9999999999996305E-2</v>
      </c>
      <c r="N189" s="18">
        <f t="shared" ref="N189" si="600">G189-M189</f>
        <v>7.1054273576010019E-15</v>
      </c>
      <c r="O189" s="114">
        <v>68874</v>
      </c>
      <c r="P189" s="17">
        <f t="shared" si="555"/>
        <v>8</v>
      </c>
      <c r="Q189" s="18">
        <f t="shared" si="546"/>
        <v>2.3176000000000001</v>
      </c>
      <c r="R189" s="114">
        <v>1455</v>
      </c>
      <c r="S189" s="17">
        <f t="shared" ref="S189" si="601">R189-R188</f>
        <v>3</v>
      </c>
      <c r="T189" s="17"/>
      <c r="U189" s="2">
        <v>33692</v>
      </c>
      <c r="V189" s="17">
        <f t="shared" ref="V189" si="602">U189-U188</f>
        <v>4</v>
      </c>
      <c r="W189" s="18">
        <f t="shared" ref="W189" si="603">V189*$C$3</f>
        <v>1.2</v>
      </c>
      <c r="X189" s="2">
        <v>12094</v>
      </c>
      <c r="Y189" s="108">
        <f t="shared" ref="Y189" si="604">X189-X188</f>
        <v>1</v>
      </c>
      <c r="Z189" s="18">
        <f t="shared" ref="Z189" si="605">Y189*$C$5*$G$4</f>
        <v>0.97840768094534702</v>
      </c>
      <c r="AA189" s="2">
        <v>880.81</v>
      </c>
      <c r="AB189" s="17">
        <f t="shared" ref="AB189" si="606">AA189-AA188</f>
        <v>0.68999999999994088</v>
      </c>
      <c r="AC189" s="17"/>
      <c r="AD189" s="24">
        <f t="shared" ref="AD189" si="607">C189+E189+G189+I189+K189+M189+AF189</f>
        <v>0.369999999999993</v>
      </c>
      <c r="AE189" s="25">
        <v>139.1</v>
      </c>
      <c r="AF189" s="24">
        <f t="shared" si="560"/>
        <v>0</v>
      </c>
      <c r="AG189" s="2"/>
      <c r="AH189" s="29"/>
    </row>
    <row r="190" spans="1:34" x14ac:dyDescent="0.25">
      <c r="A190" s="5">
        <v>44782</v>
      </c>
      <c r="B190" s="2">
        <v>21.18</v>
      </c>
      <c r="C190" s="18">
        <f t="shared" si="549"/>
        <v>7.9999999999998295E-2</v>
      </c>
      <c r="D190" s="67">
        <v>7.33</v>
      </c>
      <c r="E190" s="107">
        <f t="shared" si="550"/>
        <v>4.9999999999999822E-2</v>
      </c>
      <c r="F190" s="2">
        <v>72.09</v>
      </c>
      <c r="G190" s="107">
        <f t="shared" si="551"/>
        <v>0.23000000000000398</v>
      </c>
      <c r="H190" s="2">
        <v>2.58</v>
      </c>
      <c r="I190" s="107">
        <f t="shared" si="552"/>
        <v>1.0000000000000231E-2</v>
      </c>
      <c r="J190" s="2">
        <v>74.650000000000006</v>
      </c>
      <c r="K190" s="18">
        <f t="shared" si="553"/>
        <v>0.13000000000000966</v>
      </c>
      <c r="L190" s="2">
        <v>49.78</v>
      </c>
      <c r="M190" s="18">
        <f t="shared" ref="M190" si="608">L190-L189</f>
        <v>5.0000000000004263E-2</v>
      </c>
      <c r="N190" s="18">
        <f t="shared" ref="N190" si="609">G190-M190</f>
        <v>0.17999999999999972</v>
      </c>
      <c r="O190" s="114">
        <v>68883</v>
      </c>
      <c r="P190" s="17">
        <f t="shared" si="555"/>
        <v>9</v>
      </c>
      <c r="Q190" s="18">
        <f t="shared" si="546"/>
        <v>2.6073</v>
      </c>
      <c r="R190" s="114">
        <v>1460</v>
      </c>
      <c r="S190" s="17">
        <f t="shared" ref="S190" si="610">R190-R189</f>
        <v>5</v>
      </c>
      <c r="T190" s="17"/>
      <c r="U190" s="2">
        <v>33696</v>
      </c>
      <c r="V190" s="17">
        <f t="shared" ref="V190" si="611">U190-U189</f>
        <v>4</v>
      </c>
      <c r="W190" s="18">
        <f t="shared" ref="W190" si="612">V190*$C$3</f>
        <v>1.2</v>
      </c>
      <c r="X190" s="2">
        <v>12095</v>
      </c>
      <c r="Y190" s="108">
        <f t="shared" ref="Y190" si="613">X190-X189</f>
        <v>1</v>
      </c>
      <c r="Z190" s="18">
        <f t="shared" ref="Z190" si="614">Y190*$C$5*$G$4</f>
        <v>0.97840768094534702</v>
      </c>
      <c r="AA190" s="2">
        <v>882.08</v>
      </c>
      <c r="AB190" s="17">
        <f t="shared" ref="AB190" si="615">AA190-AA189</f>
        <v>1.2700000000000955</v>
      </c>
      <c r="AC190" s="17"/>
      <c r="AD190" s="24">
        <f t="shared" ref="AD190" si="616">C190+E190+G190+I190+K190+M190+AF190</f>
        <v>0.8400000000000083</v>
      </c>
      <c r="AE190" s="25">
        <v>139.38999999999999</v>
      </c>
      <c r="AF190" s="24">
        <f t="shared" si="560"/>
        <v>0.28999999999999204</v>
      </c>
      <c r="AG190" s="2"/>
      <c r="AH190" s="29"/>
    </row>
    <row r="191" spans="1:34" x14ac:dyDescent="0.25">
      <c r="A191" s="5">
        <v>44783</v>
      </c>
      <c r="B191" s="2">
        <v>21.26</v>
      </c>
      <c r="C191" s="18">
        <f t="shared" si="549"/>
        <v>8.0000000000001847E-2</v>
      </c>
      <c r="D191" s="67">
        <v>7.35</v>
      </c>
      <c r="E191" s="107">
        <f t="shared" si="550"/>
        <v>1.9999999999999574E-2</v>
      </c>
      <c r="F191" s="2">
        <v>72.180000000000007</v>
      </c>
      <c r="G191" s="107">
        <f t="shared" si="551"/>
        <v>9.0000000000003411E-2</v>
      </c>
      <c r="H191" s="2">
        <v>2.58</v>
      </c>
      <c r="I191" s="107">
        <f t="shared" si="552"/>
        <v>0</v>
      </c>
      <c r="J191" s="2">
        <v>74.790000000000006</v>
      </c>
      <c r="K191" s="18">
        <f t="shared" si="553"/>
        <v>0.14000000000000057</v>
      </c>
      <c r="L191" s="2">
        <v>49.85</v>
      </c>
      <c r="M191" s="18">
        <f t="shared" ref="M191" si="617">L191-L190</f>
        <v>7.0000000000000284E-2</v>
      </c>
      <c r="N191" s="18">
        <f t="shared" ref="N191" si="618">G191-M191</f>
        <v>2.0000000000003126E-2</v>
      </c>
      <c r="O191" s="114">
        <v>68891</v>
      </c>
      <c r="P191" s="17">
        <f t="shared" ref="P191" si="619">O191-O190</f>
        <v>8</v>
      </c>
      <c r="Q191" s="18">
        <f t="shared" ref="Q191" si="620">P191*$C$2</f>
        <v>2.3176000000000001</v>
      </c>
      <c r="R191" s="114">
        <v>1464</v>
      </c>
      <c r="S191" s="17">
        <f t="shared" ref="S191" si="621">R191-R190</f>
        <v>4</v>
      </c>
      <c r="T191" s="17"/>
      <c r="U191" s="2">
        <v>33700</v>
      </c>
      <c r="V191" s="17">
        <f t="shared" ref="V191" si="622">U191-U190</f>
        <v>4</v>
      </c>
      <c r="W191" s="18">
        <f t="shared" ref="W191" si="623">V191*$C$3</f>
        <v>1.2</v>
      </c>
      <c r="X191" s="2">
        <v>12096</v>
      </c>
      <c r="Y191" s="108">
        <f t="shared" ref="Y191" si="624">X191-X190</f>
        <v>1</v>
      </c>
      <c r="Z191" s="18">
        <f t="shared" ref="Z191" si="625">Y191*$C$5*$G$4</f>
        <v>0.97840768094534702</v>
      </c>
      <c r="AA191" s="2">
        <v>882.64</v>
      </c>
      <c r="AB191" s="17">
        <f t="shared" ref="AB191" si="626">AA191-AA190</f>
        <v>0.55999999999994543</v>
      </c>
      <c r="AC191" s="17"/>
      <c r="AD191" s="24">
        <f t="shared" ref="AD191" si="627">C191+E191+G191+I191+K191+M191+AF191</f>
        <v>0.41000000000002501</v>
      </c>
      <c r="AE191" s="25">
        <v>139.4</v>
      </c>
      <c r="AF191" s="24">
        <f t="shared" si="560"/>
        <v>1.0000000000019327E-2</v>
      </c>
      <c r="AG191" s="2"/>
      <c r="AH191" s="29"/>
    </row>
    <row r="192" spans="1:34" x14ac:dyDescent="0.25">
      <c r="A192" s="5">
        <v>44784</v>
      </c>
      <c r="B192" s="2">
        <v>21.32</v>
      </c>
      <c r="C192" s="18">
        <f t="shared" si="549"/>
        <v>5.9999999999998721E-2</v>
      </c>
      <c r="D192" s="67">
        <v>7.36</v>
      </c>
      <c r="E192" s="107">
        <f t="shared" si="550"/>
        <v>1.0000000000000675E-2</v>
      </c>
      <c r="F192" s="2">
        <v>72.36</v>
      </c>
      <c r="G192" s="107">
        <f t="shared" si="551"/>
        <v>0.17999999999999261</v>
      </c>
      <c r="H192" s="2">
        <v>2.58</v>
      </c>
      <c r="I192" s="107">
        <f t="shared" si="552"/>
        <v>0</v>
      </c>
      <c r="J192" s="2">
        <v>74.900000000000006</v>
      </c>
      <c r="K192" s="18">
        <f t="shared" si="553"/>
        <v>0.10999999999999943</v>
      </c>
      <c r="L192" s="2">
        <v>49.91</v>
      </c>
      <c r="M192" s="18">
        <f t="shared" ref="M192" si="628">L192-L191</f>
        <v>5.9999999999995168E-2</v>
      </c>
      <c r="N192" s="18">
        <f t="shared" ref="N192" si="629">G192-M192</f>
        <v>0.11999999999999744</v>
      </c>
      <c r="O192" s="114">
        <v>68899</v>
      </c>
      <c r="P192" s="17">
        <f t="shared" ref="P192" si="630">O192-O191</f>
        <v>8</v>
      </c>
      <c r="Q192" s="18">
        <f t="shared" ref="Q192" si="631">P192*$C$2</f>
        <v>2.3176000000000001</v>
      </c>
      <c r="R192" s="114">
        <v>1467</v>
      </c>
      <c r="S192" s="17">
        <f t="shared" ref="S192" si="632">R192-R191</f>
        <v>3</v>
      </c>
      <c r="T192" s="17"/>
      <c r="U192" s="2">
        <v>33705</v>
      </c>
      <c r="V192" s="17">
        <f t="shared" ref="V192" si="633">U192-U191</f>
        <v>5</v>
      </c>
      <c r="W192" s="18">
        <f t="shared" ref="W192" si="634">V192*$C$3</f>
        <v>1.5</v>
      </c>
      <c r="X192" s="2">
        <v>12097</v>
      </c>
      <c r="Y192" s="108">
        <f t="shared" ref="Y192" si="635">X192-X191</f>
        <v>1</v>
      </c>
      <c r="Z192" s="18">
        <f t="shared" ref="Z192" si="636">Y192*$C$5*$G$4</f>
        <v>0.97840768094534702</v>
      </c>
      <c r="AA192" s="2">
        <v>883.71</v>
      </c>
      <c r="AB192" s="17">
        <f t="shared" ref="AB192" si="637">AA192-AA191</f>
        <v>1.07000000000005</v>
      </c>
      <c r="AC192" s="17"/>
      <c r="AD192" s="24">
        <f t="shared" ref="AD192" si="638">C192+E192+G192+I192+K192+M192+AF192</f>
        <v>0.62999999999999456</v>
      </c>
      <c r="AE192" s="25">
        <v>139.61000000000001</v>
      </c>
      <c r="AF192" s="24">
        <f t="shared" si="560"/>
        <v>0.21000000000000796</v>
      </c>
      <c r="AG192" s="2"/>
      <c r="AH192" s="29"/>
    </row>
    <row r="193" spans="1:34" x14ac:dyDescent="0.25">
      <c r="A193" s="5">
        <v>44785</v>
      </c>
      <c r="B193" s="2">
        <v>21.4</v>
      </c>
      <c r="C193" s="18">
        <f t="shared" si="549"/>
        <v>7.9999999999998295E-2</v>
      </c>
      <c r="D193" s="67">
        <v>7.37</v>
      </c>
      <c r="E193" s="107">
        <f t="shared" si="550"/>
        <v>9.9999999999997868E-3</v>
      </c>
      <c r="F193" s="2">
        <v>72.44</v>
      </c>
      <c r="G193" s="107">
        <f t="shared" si="551"/>
        <v>7.9999999999998295E-2</v>
      </c>
      <c r="H193" s="2">
        <v>2.58</v>
      </c>
      <c r="I193" s="107">
        <f t="shared" si="552"/>
        <v>0</v>
      </c>
      <c r="J193" s="2">
        <v>75.03</v>
      </c>
      <c r="K193" s="18">
        <f t="shared" si="553"/>
        <v>0.12999999999999545</v>
      </c>
      <c r="L193" s="2">
        <v>49.97</v>
      </c>
      <c r="M193" s="18">
        <f t="shared" ref="M193" si="639">L193-L192</f>
        <v>6.0000000000002274E-2</v>
      </c>
      <c r="N193" s="18">
        <f t="shared" ref="N193" si="640">G193-M193</f>
        <v>1.9999999999996021E-2</v>
      </c>
      <c r="O193" s="114">
        <v>68906</v>
      </c>
      <c r="P193" s="17">
        <f t="shared" ref="P193" si="641">O193-O192</f>
        <v>7</v>
      </c>
      <c r="Q193" s="18">
        <f t="shared" ref="Q193" si="642">P193*$C$2</f>
        <v>2.0279000000000003</v>
      </c>
      <c r="R193" s="114">
        <v>1470</v>
      </c>
      <c r="S193" s="17">
        <f t="shared" ref="S193" si="643">R193-R192</f>
        <v>3</v>
      </c>
      <c r="T193" s="17"/>
      <c r="U193" s="2">
        <v>33708</v>
      </c>
      <c r="V193" s="17">
        <f t="shared" ref="V193" si="644">U193-U192</f>
        <v>3</v>
      </c>
      <c r="W193" s="18">
        <f t="shared" ref="W193" si="645">V193*$C$3</f>
        <v>0.89999999999999991</v>
      </c>
      <c r="X193" s="2">
        <v>12098</v>
      </c>
      <c r="Y193" s="108">
        <f t="shared" ref="Y193" si="646">X193-X192</f>
        <v>1</v>
      </c>
      <c r="Z193" s="18">
        <f t="shared" ref="Z193" si="647">Y193*$C$5*$G$4</f>
        <v>0.97840768094534702</v>
      </c>
      <c r="AA193" s="2">
        <v>884.34</v>
      </c>
      <c r="AB193" s="17">
        <f t="shared" ref="AB193" si="648">AA193-AA192</f>
        <v>0.62999999999999545</v>
      </c>
      <c r="AC193" s="17"/>
      <c r="AD193" s="24">
        <f t="shared" ref="AD193" si="649">C193+E193+G193+I193+K193+M193+AF193</f>
        <v>0.34999999999997478</v>
      </c>
      <c r="AE193">
        <v>139.6</v>
      </c>
      <c r="AF193" s="24">
        <f t="shared" si="560"/>
        <v>-1.0000000000019327E-2</v>
      </c>
      <c r="AG193" s="2"/>
      <c r="AH193" s="29"/>
    </row>
    <row r="194" spans="1:34" x14ac:dyDescent="0.25">
      <c r="A194" s="5">
        <v>44786</v>
      </c>
      <c r="B194" s="2">
        <v>21.45</v>
      </c>
      <c r="C194" s="18">
        <f t="shared" si="549"/>
        <v>5.0000000000000711E-2</v>
      </c>
      <c r="D194" s="67">
        <v>7.37</v>
      </c>
      <c r="E194" s="107">
        <f t="shared" si="550"/>
        <v>0</v>
      </c>
      <c r="F194" s="2">
        <v>72.55</v>
      </c>
      <c r="G194" s="107">
        <f t="shared" si="551"/>
        <v>0.10999999999999943</v>
      </c>
      <c r="H194" s="2">
        <v>2.58</v>
      </c>
      <c r="I194" s="107">
        <f t="shared" si="552"/>
        <v>0</v>
      </c>
      <c r="J194" s="2">
        <v>75.27</v>
      </c>
      <c r="K194" s="18">
        <f t="shared" si="553"/>
        <v>0.23999999999999488</v>
      </c>
      <c r="L194" s="2">
        <v>50.05</v>
      </c>
      <c r="M194" s="18">
        <f t="shared" ref="M194" si="650">L194-L193</f>
        <v>7.9999999999998295E-2</v>
      </c>
      <c r="N194" s="18">
        <f t="shared" ref="N194" si="651">G194-M194</f>
        <v>3.0000000000001137E-2</v>
      </c>
      <c r="O194" s="114">
        <v>68916</v>
      </c>
      <c r="P194" s="17">
        <f t="shared" ref="P194" si="652">O194-O193</f>
        <v>10</v>
      </c>
      <c r="Q194" s="18">
        <f t="shared" ref="Q194" si="653">P194*$C$2</f>
        <v>2.8970000000000002</v>
      </c>
      <c r="R194" s="114">
        <v>1473</v>
      </c>
      <c r="S194" s="17">
        <f t="shared" ref="S194" si="654">R194-R193</f>
        <v>3</v>
      </c>
      <c r="T194" s="17"/>
      <c r="U194" s="2">
        <v>33711</v>
      </c>
      <c r="V194" s="17">
        <f t="shared" ref="V194" si="655">U194-U193</f>
        <v>3</v>
      </c>
      <c r="W194" s="18">
        <f t="shared" ref="W194" si="656">V194*$C$3</f>
        <v>0.89999999999999991</v>
      </c>
      <c r="X194" s="2">
        <v>12099</v>
      </c>
      <c r="Y194" s="108">
        <f t="shared" ref="Y194" si="657">X194-X193</f>
        <v>1</v>
      </c>
      <c r="Z194" s="18">
        <f t="shared" ref="Z194" si="658">Y194*$C$5*$G$4</f>
        <v>0.97840768094534702</v>
      </c>
      <c r="AA194" s="2">
        <v>884.89</v>
      </c>
      <c r="AB194" s="17">
        <f t="shared" ref="AB194" si="659">AA194-AA193</f>
        <v>0.54999999999995453</v>
      </c>
      <c r="AC194" s="17"/>
      <c r="AD194" s="24">
        <f t="shared" ref="AD194" si="660">C194+E194+G194+I194+K194+M194+AF194</f>
        <v>0.47999999999999332</v>
      </c>
      <c r="AE194" s="25">
        <v>139.6</v>
      </c>
      <c r="AF194" s="24">
        <f t="shared" si="560"/>
        <v>0</v>
      </c>
      <c r="AG194" s="2"/>
      <c r="AH194" s="29"/>
    </row>
    <row r="195" spans="1:34" x14ac:dyDescent="0.25">
      <c r="A195" s="5">
        <v>44787</v>
      </c>
      <c r="B195" s="2">
        <v>21.5</v>
      </c>
      <c r="C195" s="18">
        <f t="shared" si="549"/>
        <v>5.0000000000000711E-2</v>
      </c>
      <c r="D195" s="67">
        <v>7.39</v>
      </c>
      <c r="E195" s="107">
        <f t="shared" si="550"/>
        <v>1.9999999999999574E-2</v>
      </c>
      <c r="F195" s="2">
        <v>72.72</v>
      </c>
      <c r="G195" s="107">
        <f t="shared" si="551"/>
        <v>0.17000000000000171</v>
      </c>
      <c r="H195" s="2">
        <v>2.58</v>
      </c>
      <c r="I195" s="107">
        <f t="shared" si="552"/>
        <v>0</v>
      </c>
      <c r="J195" s="2">
        <v>75.44</v>
      </c>
      <c r="K195" s="18">
        <f t="shared" si="553"/>
        <v>0.17000000000000171</v>
      </c>
      <c r="L195" s="2">
        <v>50.12</v>
      </c>
      <c r="M195" s="18">
        <f t="shared" ref="M195" si="661">L195-L194</f>
        <v>7.0000000000000284E-2</v>
      </c>
      <c r="N195" s="18">
        <f t="shared" ref="N195" si="662">G195-M195</f>
        <v>0.10000000000000142</v>
      </c>
      <c r="O195" s="114">
        <v>68923</v>
      </c>
      <c r="P195" s="17">
        <f t="shared" ref="P195" si="663">O195-O194</f>
        <v>7</v>
      </c>
      <c r="Q195" s="18">
        <f t="shared" ref="Q195" si="664">P195*$C$2</f>
        <v>2.0279000000000003</v>
      </c>
      <c r="R195" s="114">
        <v>1478</v>
      </c>
      <c r="S195" s="17">
        <f t="shared" ref="S195" si="665">R195-R194</f>
        <v>5</v>
      </c>
      <c r="T195" s="17"/>
      <c r="U195" s="2">
        <v>33714</v>
      </c>
      <c r="V195" s="17">
        <f t="shared" ref="V195" si="666">U195-U194</f>
        <v>3</v>
      </c>
      <c r="W195" s="18">
        <f t="shared" ref="W195" si="667">V195*$C$3</f>
        <v>0.89999999999999991</v>
      </c>
      <c r="X195" s="2">
        <v>12100</v>
      </c>
      <c r="Y195" s="108">
        <f t="shared" ref="Y195" si="668">X195-X194</f>
        <v>1</v>
      </c>
      <c r="Z195" s="18">
        <f t="shared" ref="Z195" si="669">Y195*$C$5*$G$4</f>
        <v>0.97840768094534702</v>
      </c>
      <c r="AA195" s="2">
        <v>885.82</v>
      </c>
      <c r="AB195" s="17">
        <f t="shared" ref="AB195" si="670">AA195-AA194</f>
        <v>0.93000000000006366</v>
      </c>
      <c r="AC195" s="17"/>
      <c r="AD195" s="24">
        <f t="shared" ref="AD195" si="671">C195+E195+G195+I195+K195+M195+AF195</f>
        <v>0.73000000000000398</v>
      </c>
      <c r="AE195" s="25">
        <v>139.85</v>
      </c>
      <c r="AF195" s="24">
        <f t="shared" si="560"/>
        <v>0.25</v>
      </c>
      <c r="AG195" s="2"/>
      <c r="AH195" s="29"/>
    </row>
    <row r="196" spans="1:34" x14ac:dyDescent="0.25">
      <c r="A196" s="5">
        <v>44788</v>
      </c>
      <c r="B196" s="2">
        <v>21.56</v>
      </c>
      <c r="C196" s="18">
        <f t="shared" si="549"/>
        <v>5.9999999999998721E-2</v>
      </c>
      <c r="D196" s="67">
        <v>7.39</v>
      </c>
      <c r="E196" s="107">
        <f t="shared" si="550"/>
        <v>0</v>
      </c>
      <c r="F196" s="2">
        <v>72.78</v>
      </c>
      <c r="G196" s="107">
        <f t="shared" si="551"/>
        <v>6.0000000000002274E-2</v>
      </c>
      <c r="H196" s="2">
        <v>2.58</v>
      </c>
      <c r="I196" s="107">
        <f t="shared" si="552"/>
        <v>0</v>
      </c>
      <c r="J196" s="2">
        <v>75.599999999999994</v>
      </c>
      <c r="K196" s="18">
        <f t="shared" si="553"/>
        <v>0.15999999999999659</v>
      </c>
      <c r="L196" s="2">
        <v>50.18</v>
      </c>
      <c r="M196" s="18">
        <f t="shared" ref="M196" si="672">L196-L195</f>
        <v>6.0000000000002274E-2</v>
      </c>
      <c r="N196" s="18">
        <f t="shared" ref="N196" si="673">G196-M196</f>
        <v>0</v>
      </c>
      <c r="O196" s="114">
        <v>68931</v>
      </c>
      <c r="P196" s="17">
        <f t="shared" ref="P196" si="674">O196-O195</f>
        <v>8</v>
      </c>
      <c r="Q196" s="18">
        <f t="shared" ref="Q196" si="675">P196*$C$2</f>
        <v>2.3176000000000001</v>
      </c>
      <c r="R196" s="114">
        <v>1481</v>
      </c>
      <c r="S196" s="17">
        <f t="shared" ref="S196" si="676">R196-R195</f>
        <v>3</v>
      </c>
      <c r="T196" s="17"/>
      <c r="U196" s="2">
        <v>33719</v>
      </c>
      <c r="V196" s="17">
        <f t="shared" ref="V196" si="677">U196-U195</f>
        <v>5</v>
      </c>
      <c r="W196" s="18">
        <f t="shared" ref="W196" si="678">V196*$C$3</f>
        <v>1.5</v>
      </c>
      <c r="X196" s="2">
        <v>12101</v>
      </c>
      <c r="Y196" s="108">
        <f t="shared" ref="Y196" si="679">X196-X195</f>
        <v>1</v>
      </c>
      <c r="Z196" s="18">
        <f t="shared" ref="Z196" si="680">Y196*$C$5*$G$4</f>
        <v>0.97840768094534702</v>
      </c>
      <c r="AA196" s="2">
        <v>886.32</v>
      </c>
      <c r="AB196" s="17">
        <f t="shared" ref="AB196" si="681">AA196-AA195</f>
        <v>0.5</v>
      </c>
      <c r="AC196" s="17"/>
      <c r="AD196" s="24">
        <f t="shared" ref="AD196" si="682">C196+E196+G196+I196+K196+M196+AF196</f>
        <v>0.39000000000001123</v>
      </c>
      <c r="AE196" s="25">
        <v>139.9</v>
      </c>
      <c r="AF196" s="24">
        <f t="shared" si="560"/>
        <v>5.0000000000011369E-2</v>
      </c>
      <c r="AG196" s="2"/>
      <c r="AH196" s="29"/>
    </row>
    <row r="197" spans="1:34" x14ac:dyDescent="0.25">
      <c r="A197" s="5">
        <v>44789</v>
      </c>
      <c r="B197" s="2">
        <v>21.63</v>
      </c>
      <c r="C197" s="18">
        <f t="shared" si="549"/>
        <v>7.0000000000000284E-2</v>
      </c>
      <c r="D197" s="67">
        <v>7.39</v>
      </c>
      <c r="E197" s="107">
        <f>D197-D196</f>
        <v>0</v>
      </c>
      <c r="F197" s="2">
        <v>72.88</v>
      </c>
      <c r="G197" s="107">
        <f t="shared" si="551"/>
        <v>9.9999999999994316E-2</v>
      </c>
      <c r="H197" s="2">
        <v>2.58</v>
      </c>
      <c r="I197" s="107">
        <f t="shared" si="552"/>
        <v>0</v>
      </c>
      <c r="J197" s="2">
        <v>75.86</v>
      </c>
      <c r="K197" s="18">
        <f t="shared" si="553"/>
        <v>0.26000000000000512</v>
      </c>
      <c r="L197" s="2">
        <v>50.25</v>
      </c>
      <c r="M197" s="18">
        <f t="shared" ref="M197" si="683">L197-L196</f>
        <v>7.0000000000000284E-2</v>
      </c>
      <c r="N197" s="18">
        <f t="shared" ref="N197" si="684">G197-M197</f>
        <v>2.9999999999994031E-2</v>
      </c>
      <c r="O197" s="114">
        <v>68939</v>
      </c>
      <c r="P197" s="17">
        <f t="shared" ref="P197" si="685">O197-O196</f>
        <v>8</v>
      </c>
      <c r="Q197" s="18">
        <f t="shared" ref="Q197" si="686">P197*$C$2</f>
        <v>2.3176000000000001</v>
      </c>
      <c r="R197" s="114">
        <v>1485</v>
      </c>
      <c r="S197" s="17">
        <f t="shared" ref="S197" si="687">R197-R196</f>
        <v>4</v>
      </c>
      <c r="T197" s="17"/>
      <c r="U197" s="2">
        <v>33723</v>
      </c>
      <c r="V197" s="17">
        <f t="shared" ref="V197" si="688">U197-U196</f>
        <v>4</v>
      </c>
      <c r="W197" s="18">
        <f t="shared" ref="W197" si="689">V197*$C$3</f>
        <v>1.2</v>
      </c>
      <c r="X197" s="2">
        <v>12101</v>
      </c>
      <c r="Y197" s="108">
        <f t="shared" ref="Y197" si="690">X197-X196</f>
        <v>0</v>
      </c>
      <c r="Z197" s="18">
        <f t="shared" ref="Z197" si="691">Y197*$C$5*$G$4</f>
        <v>0</v>
      </c>
      <c r="AA197" s="2">
        <v>887.06</v>
      </c>
      <c r="AB197" s="17">
        <f t="shared" ref="AB197" si="692">AA197-AA196</f>
        <v>0.73999999999989541</v>
      </c>
      <c r="AC197" s="17"/>
      <c r="AD197" s="24">
        <f>C197+E197+G197+I197+K197+M197+AF197</f>
        <v>0.5</v>
      </c>
      <c r="AE197" s="110">
        <v>139.9</v>
      </c>
      <c r="AF197" s="24">
        <f t="shared" si="560"/>
        <v>0</v>
      </c>
      <c r="AG197" s="2"/>
      <c r="AH197" s="29"/>
    </row>
    <row r="198" spans="1:34" x14ac:dyDescent="0.25">
      <c r="A198" s="5">
        <v>44790</v>
      </c>
      <c r="B198" s="2">
        <v>21.72</v>
      </c>
      <c r="C198" s="18">
        <f t="shared" si="549"/>
        <v>8.9999999999999858E-2</v>
      </c>
      <c r="D198" s="67">
        <v>7.4</v>
      </c>
      <c r="E198" s="107">
        <f>D198-D197</f>
        <v>1.0000000000000675E-2</v>
      </c>
      <c r="F198" s="2">
        <v>72.95</v>
      </c>
      <c r="G198" s="107">
        <f t="shared" si="551"/>
        <v>7.000000000000739E-2</v>
      </c>
      <c r="H198" s="2">
        <v>2.58</v>
      </c>
      <c r="I198" s="107">
        <f t="shared" si="552"/>
        <v>0</v>
      </c>
      <c r="J198" s="2">
        <v>76</v>
      </c>
      <c r="K198" s="18">
        <f t="shared" si="553"/>
        <v>0.14000000000000057</v>
      </c>
      <c r="L198" s="2">
        <v>50.31</v>
      </c>
      <c r="M198" s="18">
        <f t="shared" ref="M198:M204" si="693">L198-L197</f>
        <v>6.0000000000002274E-2</v>
      </c>
      <c r="N198" s="18">
        <f t="shared" ref="N198:N204" si="694">G198-M198</f>
        <v>1.0000000000005116E-2</v>
      </c>
      <c r="O198" s="114">
        <v>68947</v>
      </c>
      <c r="P198" s="17">
        <f t="shared" ref="P198" si="695">O198-O197</f>
        <v>8</v>
      </c>
      <c r="Q198" s="18">
        <f t="shared" ref="Q198:Q204" si="696">P198*$C$2</f>
        <v>2.3176000000000001</v>
      </c>
      <c r="R198" s="114">
        <v>1488</v>
      </c>
      <c r="S198" s="17">
        <f t="shared" ref="S198" si="697">R198-R197</f>
        <v>3</v>
      </c>
      <c r="T198" s="17"/>
      <c r="U198" s="2">
        <v>33729</v>
      </c>
      <c r="V198" s="17">
        <f t="shared" ref="V198" si="698">U198-U197</f>
        <v>6</v>
      </c>
      <c r="W198" s="18">
        <f t="shared" ref="W198:W203" si="699">V198*$C$3</f>
        <v>1.7999999999999998</v>
      </c>
      <c r="X198" s="2">
        <v>12102</v>
      </c>
      <c r="Y198" s="108">
        <f t="shared" ref="Y198" si="700">X198-X197</f>
        <v>1</v>
      </c>
      <c r="Z198" s="18">
        <f t="shared" ref="Z198" si="701">Y198*$C$5*$G$4</f>
        <v>0.97840768094534702</v>
      </c>
      <c r="AA198" s="2">
        <v>887.74</v>
      </c>
      <c r="AB198" s="17">
        <f t="shared" ref="AB198" si="702">AA198-AA197</f>
        <v>0.68000000000006366</v>
      </c>
      <c r="AC198" s="17"/>
      <c r="AD198" s="24">
        <f>C198+E198+G198+I198+K198+M198+AF198</f>
        <v>0.37000000000001076</v>
      </c>
      <c r="AE198" s="25">
        <v>139.9</v>
      </c>
      <c r="AF198" s="24">
        <f t="shared" si="560"/>
        <v>0</v>
      </c>
      <c r="AG198" s="2"/>
      <c r="AH198" s="29"/>
    </row>
    <row r="199" spans="1:34" x14ac:dyDescent="0.25">
      <c r="A199" s="5">
        <v>44791</v>
      </c>
      <c r="B199" s="20">
        <f>0.2/5+B198</f>
        <v>21.759999999999998</v>
      </c>
      <c r="C199" s="18">
        <f t="shared" si="549"/>
        <v>3.9999999999999147E-2</v>
      </c>
      <c r="D199" s="67">
        <v>7.4</v>
      </c>
      <c r="E199" s="107">
        <f t="shared" ref="E199:E202" si="703">D199-D198</f>
        <v>0</v>
      </c>
      <c r="F199" s="2">
        <v>72.95</v>
      </c>
      <c r="G199" s="107">
        <f t="shared" si="551"/>
        <v>0</v>
      </c>
      <c r="H199" s="2">
        <v>2.58</v>
      </c>
      <c r="I199" s="107">
        <f t="shared" si="552"/>
        <v>0</v>
      </c>
      <c r="J199" s="2">
        <v>76</v>
      </c>
      <c r="K199" s="18">
        <f t="shared" si="553"/>
        <v>0</v>
      </c>
      <c r="L199" s="2">
        <v>50.31</v>
      </c>
      <c r="M199" s="18">
        <f t="shared" si="693"/>
        <v>0</v>
      </c>
      <c r="N199" s="18">
        <f t="shared" si="694"/>
        <v>0</v>
      </c>
      <c r="O199" s="114">
        <f>O198+P199</f>
        <v>68952.399999999994</v>
      </c>
      <c r="P199" s="17">
        <f>27/5</f>
        <v>5.4</v>
      </c>
      <c r="Q199" s="18">
        <f t="shared" si="696"/>
        <v>1.5643800000000001</v>
      </c>
      <c r="R199" s="114">
        <f>R198+3.8</f>
        <v>1491.8</v>
      </c>
      <c r="S199" s="17">
        <f>S203/5</f>
        <v>0.76000000000003642</v>
      </c>
      <c r="T199" s="17"/>
      <c r="U199" s="2">
        <f>U198+3</f>
        <v>33732</v>
      </c>
      <c r="V199" s="17">
        <v>3</v>
      </c>
      <c r="W199" s="18">
        <f t="shared" si="699"/>
        <v>0.89999999999999991</v>
      </c>
      <c r="X199" s="2"/>
      <c r="Y199" s="108"/>
      <c r="Z199" s="17"/>
      <c r="AA199" s="2"/>
      <c r="AB199" s="17"/>
      <c r="AC199" s="17"/>
      <c r="AD199" s="17"/>
      <c r="AE199" s="25">
        <v>139.9</v>
      </c>
      <c r="AF199" s="24">
        <f t="shared" si="560"/>
        <v>0</v>
      </c>
      <c r="AG199" s="2"/>
      <c r="AH199" s="29"/>
    </row>
    <row r="200" spans="1:34" x14ac:dyDescent="0.25">
      <c r="A200" s="5">
        <v>44792</v>
      </c>
      <c r="B200" s="20">
        <f t="shared" ref="B200:B202" si="704">0.2/5+B199</f>
        <v>21.799999999999997</v>
      </c>
      <c r="C200" s="18">
        <f t="shared" si="549"/>
        <v>3.9999999999999147E-2</v>
      </c>
      <c r="D200" s="67">
        <v>7.4</v>
      </c>
      <c r="E200" s="107">
        <f t="shared" si="703"/>
        <v>0</v>
      </c>
      <c r="F200" s="2">
        <v>72.95</v>
      </c>
      <c r="G200" s="107">
        <f t="shared" si="551"/>
        <v>0</v>
      </c>
      <c r="H200" s="2">
        <v>2.58</v>
      </c>
      <c r="I200" s="107">
        <f t="shared" si="552"/>
        <v>0</v>
      </c>
      <c r="J200" s="2">
        <v>76</v>
      </c>
      <c r="K200" s="18">
        <f t="shared" si="553"/>
        <v>0</v>
      </c>
      <c r="L200" s="2">
        <v>50.31</v>
      </c>
      <c r="M200" s="18">
        <f t="shared" si="693"/>
        <v>0</v>
      </c>
      <c r="N200" s="18">
        <f t="shared" si="694"/>
        <v>0</v>
      </c>
      <c r="O200" s="114">
        <f t="shared" ref="O200:O202" si="705">O199+P200</f>
        <v>68957.799999999988</v>
      </c>
      <c r="P200" s="17">
        <f t="shared" ref="P200:P203" si="706">27/5</f>
        <v>5.4</v>
      </c>
      <c r="Q200" s="18">
        <f t="shared" si="696"/>
        <v>1.5643800000000001</v>
      </c>
      <c r="R200" s="114">
        <f t="shared" ref="R200:R202" si="707">R199+3.8</f>
        <v>1495.6</v>
      </c>
      <c r="S200" s="17">
        <v>3.8</v>
      </c>
      <c r="T200" s="17"/>
      <c r="U200" s="2">
        <f t="shared" ref="U200:U202" si="708">U199+3</f>
        <v>33735</v>
      </c>
      <c r="V200" s="17">
        <v>3</v>
      </c>
      <c r="W200" s="18">
        <f t="shared" si="699"/>
        <v>0.89999999999999991</v>
      </c>
      <c r="X200" s="2"/>
      <c r="Y200" s="108"/>
      <c r="Z200" s="17"/>
      <c r="AA200" s="2"/>
      <c r="AB200" s="17"/>
      <c r="AC200" s="17"/>
      <c r="AD200" s="17"/>
      <c r="AE200" s="25">
        <v>139.9</v>
      </c>
      <c r="AF200" s="24">
        <f t="shared" si="560"/>
        <v>0</v>
      </c>
      <c r="AG200" s="2"/>
      <c r="AH200" s="29"/>
    </row>
    <row r="201" spans="1:34" x14ac:dyDescent="0.25">
      <c r="A201" s="5">
        <v>44793</v>
      </c>
      <c r="B201" s="20">
        <f t="shared" si="704"/>
        <v>21.839999999999996</v>
      </c>
      <c r="C201" s="18">
        <f t="shared" si="549"/>
        <v>3.9999999999999147E-2</v>
      </c>
      <c r="D201" s="67">
        <v>7.4</v>
      </c>
      <c r="E201" s="107">
        <f t="shared" si="703"/>
        <v>0</v>
      </c>
      <c r="F201" s="2">
        <v>72.95</v>
      </c>
      <c r="G201" s="107">
        <f t="shared" si="551"/>
        <v>0</v>
      </c>
      <c r="H201" s="2">
        <v>2.58</v>
      </c>
      <c r="I201" s="107">
        <f t="shared" si="552"/>
        <v>0</v>
      </c>
      <c r="J201" s="2">
        <v>76</v>
      </c>
      <c r="K201" s="18">
        <f t="shared" si="553"/>
        <v>0</v>
      </c>
      <c r="L201" s="2">
        <v>50.31</v>
      </c>
      <c r="M201" s="18">
        <f t="shared" si="693"/>
        <v>0</v>
      </c>
      <c r="N201" s="18">
        <f t="shared" si="694"/>
        <v>0</v>
      </c>
      <c r="O201" s="114">
        <f t="shared" si="705"/>
        <v>68963.199999999983</v>
      </c>
      <c r="P201" s="17">
        <f t="shared" si="706"/>
        <v>5.4</v>
      </c>
      <c r="Q201" s="18">
        <f t="shared" si="696"/>
        <v>1.5643800000000001</v>
      </c>
      <c r="R201" s="114">
        <f t="shared" si="707"/>
        <v>1499.3999999999999</v>
      </c>
      <c r="S201" s="17">
        <v>3.8</v>
      </c>
      <c r="T201" s="17"/>
      <c r="U201" s="2">
        <f t="shared" si="708"/>
        <v>33738</v>
      </c>
      <c r="V201" s="17">
        <v>3</v>
      </c>
      <c r="W201" s="18">
        <f t="shared" si="699"/>
        <v>0.89999999999999991</v>
      </c>
      <c r="X201" s="2"/>
      <c r="Y201" s="108"/>
      <c r="Z201" s="17"/>
      <c r="AA201" s="2"/>
      <c r="AB201" s="17"/>
      <c r="AC201" s="17"/>
      <c r="AD201" s="17"/>
      <c r="AE201" s="25">
        <v>139.9</v>
      </c>
      <c r="AF201" s="24">
        <f t="shared" si="560"/>
        <v>0</v>
      </c>
      <c r="AG201" s="2"/>
      <c r="AH201" s="29"/>
    </row>
    <row r="202" spans="1:34" x14ac:dyDescent="0.25">
      <c r="A202" s="5">
        <v>44794</v>
      </c>
      <c r="B202" s="20">
        <f t="shared" si="704"/>
        <v>21.879999999999995</v>
      </c>
      <c r="C202" s="18">
        <f t="shared" si="549"/>
        <v>3.9999999999999147E-2</v>
      </c>
      <c r="D202" s="67">
        <v>7.4</v>
      </c>
      <c r="E202" s="107">
        <f t="shared" si="703"/>
        <v>0</v>
      </c>
      <c r="F202" s="2">
        <v>72.95</v>
      </c>
      <c r="G202" s="107">
        <f t="shared" si="551"/>
        <v>0</v>
      </c>
      <c r="H202" s="2">
        <v>2.58</v>
      </c>
      <c r="I202" s="107">
        <f t="shared" si="552"/>
        <v>0</v>
      </c>
      <c r="J202" s="2">
        <v>76</v>
      </c>
      <c r="K202" s="18">
        <f t="shared" si="553"/>
        <v>0</v>
      </c>
      <c r="L202" s="2">
        <v>50.31</v>
      </c>
      <c r="M202" s="18">
        <f t="shared" si="693"/>
        <v>0</v>
      </c>
      <c r="N202" s="18">
        <f t="shared" si="694"/>
        <v>0</v>
      </c>
      <c r="O202" s="114">
        <f t="shared" si="705"/>
        <v>68968.599999999977</v>
      </c>
      <c r="P202" s="17">
        <f t="shared" si="706"/>
        <v>5.4</v>
      </c>
      <c r="Q202" s="18">
        <f t="shared" si="696"/>
        <v>1.5643800000000001</v>
      </c>
      <c r="R202" s="114">
        <f t="shared" si="707"/>
        <v>1503.1999999999998</v>
      </c>
      <c r="S202" s="17">
        <v>3.8</v>
      </c>
      <c r="T202" s="17"/>
      <c r="U202" s="2">
        <f t="shared" si="708"/>
        <v>33741</v>
      </c>
      <c r="V202" s="17">
        <v>3</v>
      </c>
      <c r="W202" s="18">
        <f t="shared" si="699"/>
        <v>0.89999999999999991</v>
      </c>
      <c r="X202" s="2"/>
      <c r="Y202" s="108"/>
      <c r="Z202" s="17"/>
      <c r="AA202" s="2"/>
      <c r="AB202" s="17"/>
      <c r="AC202" s="17"/>
      <c r="AD202" s="17"/>
      <c r="AE202" s="25">
        <v>139.9</v>
      </c>
      <c r="AF202" s="24">
        <f t="shared" si="560"/>
        <v>0</v>
      </c>
      <c r="AG202" s="2"/>
      <c r="AH202" s="29"/>
    </row>
    <row r="203" spans="1:34" x14ac:dyDescent="0.25">
      <c r="A203" s="5">
        <v>44795</v>
      </c>
      <c r="B203" s="2">
        <v>21.92</v>
      </c>
      <c r="C203" s="18">
        <f t="shared" si="549"/>
        <v>4.0000000000006253E-2</v>
      </c>
      <c r="D203" s="67">
        <v>7.42</v>
      </c>
      <c r="E203" s="18">
        <f>D203-D198</f>
        <v>1.9999999999999574E-2</v>
      </c>
      <c r="F203" s="2">
        <v>73.13</v>
      </c>
      <c r="G203" s="107">
        <f t="shared" si="551"/>
        <v>0.17999999999999261</v>
      </c>
      <c r="H203" s="2">
        <v>2.59</v>
      </c>
      <c r="I203" s="18">
        <f>H203-H198</f>
        <v>9.9999999999997868E-3</v>
      </c>
      <c r="J203" s="2">
        <v>76.150000000000006</v>
      </c>
      <c r="K203" s="18">
        <f t="shared" si="553"/>
        <v>0.15000000000000568</v>
      </c>
      <c r="L203" s="2">
        <v>50.38</v>
      </c>
      <c r="M203" s="18">
        <f t="shared" si="693"/>
        <v>7.0000000000000284E-2</v>
      </c>
      <c r="N203" s="18">
        <f t="shared" si="694"/>
        <v>0.10999999999999233</v>
      </c>
      <c r="O203" s="114">
        <v>68974</v>
      </c>
      <c r="P203" s="17">
        <f t="shared" si="706"/>
        <v>5.4</v>
      </c>
      <c r="Q203" s="18">
        <f t="shared" si="696"/>
        <v>1.5643800000000001</v>
      </c>
      <c r="R203" s="114">
        <v>1507</v>
      </c>
      <c r="S203" s="17">
        <f t="shared" ref="S203:S204" si="709">R203-R202</f>
        <v>3.8000000000001819</v>
      </c>
      <c r="T203" s="17"/>
      <c r="U203" s="2">
        <v>33744</v>
      </c>
      <c r="V203" s="68">
        <v>3</v>
      </c>
      <c r="W203" s="18">
        <f t="shared" si="699"/>
        <v>0.89999999999999991</v>
      </c>
      <c r="X203" s="2">
        <v>12104</v>
      </c>
      <c r="Y203" s="108">
        <f>X203-X198</f>
        <v>2</v>
      </c>
      <c r="Z203" s="18">
        <f>Y203-Y198</f>
        <v>1</v>
      </c>
      <c r="AA203" s="2">
        <v>889.35</v>
      </c>
      <c r="AB203" s="18">
        <f>AA203-AA198</f>
        <v>1.6100000000000136</v>
      </c>
      <c r="AC203" s="18">
        <f>AB203-AB198</f>
        <v>0.92999999999994998</v>
      </c>
      <c r="AD203" s="18">
        <f>AC203-AC198</f>
        <v>0.92999999999994998</v>
      </c>
      <c r="AE203" s="25">
        <v>139.9</v>
      </c>
      <c r="AF203" s="24">
        <f t="shared" si="560"/>
        <v>0</v>
      </c>
      <c r="AG203" s="2"/>
      <c r="AH203" s="29"/>
    </row>
    <row r="204" spans="1:34" x14ac:dyDescent="0.25">
      <c r="A204" s="5">
        <v>44796</v>
      </c>
      <c r="B204" s="2">
        <v>21.94</v>
      </c>
      <c r="C204" s="18">
        <f t="shared" ref="C204:C212" si="710">B204-B203</f>
        <v>1.9999999999999574E-2</v>
      </c>
      <c r="D204" s="67">
        <v>7.48</v>
      </c>
      <c r="E204" s="107">
        <f t="shared" ref="E204:E212" si="711">D204-D203</f>
        <v>6.0000000000000497E-2</v>
      </c>
      <c r="F204" s="2">
        <v>73.260000000000005</v>
      </c>
      <c r="G204" s="107">
        <f t="shared" ref="G204:G212" si="712">F204-F203</f>
        <v>0.13000000000000966</v>
      </c>
      <c r="H204" s="2">
        <v>2.6</v>
      </c>
      <c r="I204" s="107">
        <f t="shared" ref="I204:I212" si="713">H204-H203</f>
        <v>1.0000000000000231E-2</v>
      </c>
      <c r="J204" s="2">
        <v>76.28</v>
      </c>
      <c r="K204" s="18">
        <f t="shared" ref="K204:K212" si="714">J204-J203</f>
        <v>0.12999999999999545</v>
      </c>
      <c r="L204" s="2">
        <v>50.45</v>
      </c>
      <c r="M204" s="18">
        <f t="shared" si="693"/>
        <v>7.0000000000000284E-2</v>
      </c>
      <c r="N204" s="18">
        <f t="shared" si="694"/>
        <v>6.0000000000009379E-2</v>
      </c>
      <c r="O204" s="114">
        <v>68983</v>
      </c>
      <c r="P204" s="17">
        <f t="shared" ref="P204" si="715">O204-O203</f>
        <v>9</v>
      </c>
      <c r="Q204" s="18">
        <f t="shared" si="696"/>
        <v>2.6073</v>
      </c>
      <c r="R204" s="114">
        <v>1512</v>
      </c>
      <c r="S204" s="17">
        <f t="shared" si="709"/>
        <v>5</v>
      </c>
      <c r="T204" s="17"/>
      <c r="U204" s="2">
        <v>33747</v>
      </c>
      <c r="V204" s="17">
        <f t="shared" ref="V204" si="716">U204-U203</f>
        <v>3</v>
      </c>
      <c r="W204" s="18">
        <f t="shared" ref="W204" si="717">V204*$C$3</f>
        <v>0.89999999999999991</v>
      </c>
      <c r="X204" s="2">
        <v>12105</v>
      </c>
      <c r="Y204" s="108">
        <f t="shared" ref="Y204" si="718">X204-X203</f>
        <v>1</v>
      </c>
      <c r="Z204" s="18">
        <f t="shared" ref="Z204" si="719">Y204*$C$5*$G$4</f>
        <v>0.97840768094534702</v>
      </c>
      <c r="AA204" s="2">
        <v>890.01</v>
      </c>
      <c r="AB204" s="17">
        <f t="shared" ref="AB204" si="720">AA204-AA203</f>
        <v>0.65999999999996817</v>
      </c>
      <c r="AC204" s="17"/>
      <c r="AD204" s="24">
        <f t="shared" ref="AD204" si="721">C204+E204+G204+I204+K204+M204+AF204</f>
        <v>0.42999999999999661</v>
      </c>
      <c r="AE204" s="25">
        <v>139.91</v>
      </c>
      <c r="AF204" s="24">
        <f t="shared" ref="AF204:AF212" si="722">AE204-AE203</f>
        <v>9.9999999999909051E-3</v>
      </c>
      <c r="AG204" s="2"/>
      <c r="AH204" s="29"/>
    </row>
    <row r="205" spans="1:34" x14ac:dyDescent="0.25">
      <c r="A205" s="5">
        <v>44797</v>
      </c>
      <c r="B205" s="2">
        <v>21.96</v>
      </c>
      <c r="C205" s="18">
        <f t="shared" si="710"/>
        <v>1.9999999999999574E-2</v>
      </c>
      <c r="D205" s="67">
        <v>7.51</v>
      </c>
      <c r="E205" s="107">
        <f t="shared" si="711"/>
        <v>2.9999999999999361E-2</v>
      </c>
      <c r="F205" s="2">
        <v>73.349999999999994</v>
      </c>
      <c r="G205" s="107">
        <f t="shared" si="712"/>
        <v>8.99999999999892E-2</v>
      </c>
      <c r="H205" s="2">
        <v>2.6</v>
      </c>
      <c r="I205" s="107">
        <f t="shared" si="713"/>
        <v>0</v>
      </c>
      <c r="J205" s="2">
        <v>76.400000000000006</v>
      </c>
      <c r="K205" s="18">
        <f t="shared" si="714"/>
        <v>0.12000000000000455</v>
      </c>
      <c r="L205" s="2">
        <v>50.5</v>
      </c>
      <c r="M205" s="18">
        <f t="shared" ref="M205" si="723">L205-L204</f>
        <v>4.9999999999997158E-2</v>
      </c>
      <c r="N205" s="18">
        <f t="shared" ref="N205" si="724">G205-M205</f>
        <v>3.9999999999992042E-2</v>
      </c>
      <c r="O205" s="114">
        <v>68991</v>
      </c>
      <c r="P205" s="17">
        <f t="shared" ref="P205" si="725">O205-O204</f>
        <v>8</v>
      </c>
      <c r="Q205" s="18">
        <f t="shared" ref="Q205" si="726">P205*$C$2</f>
        <v>2.3176000000000001</v>
      </c>
      <c r="R205" s="114">
        <v>1516</v>
      </c>
      <c r="S205" s="17">
        <f t="shared" ref="S205" si="727">R205-R204</f>
        <v>4</v>
      </c>
      <c r="T205" s="17"/>
      <c r="U205" s="2">
        <v>33749</v>
      </c>
      <c r="V205" s="17">
        <f t="shared" ref="V205" si="728">U205-U204</f>
        <v>2</v>
      </c>
      <c r="W205" s="18">
        <f t="shared" ref="W205" si="729">V205*$C$3</f>
        <v>0.6</v>
      </c>
      <c r="X205" s="2">
        <v>12106</v>
      </c>
      <c r="Y205" s="108">
        <f t="shared" ref="Y205" si="730">X205-X204</f>
        <v>1</v>
      </c>
      <c r="Z205" s="18">
        <f t="shared" ref="Z205" si="731">Y205*$C$5*$G$4</f>
        <v>0.97840768094534702</v>
      </c>
      <c r="AA205" s="2">
        <v>890.59</v>
      </c>
      <c r="AB205" s="17">
        <f t="shared" ref="AB205" si="732">AA205-AA204</f>
        <v>0.58000000000004093</v>
      </c>
      <c r="AC205" s="17"/>
      <c r="AD205" s="24">
        <f t="shared" ref="AD205" si="733">C205+E205+G205+I205+K205+M205+AF205</f>
        <v>0.48000000000000576</v>
      </c>
      <c r="AE205" s="25">
        <v>140.08000000000001</v>
      </c>
      <c r="AF205" s="24">
        <f t="shared" si="722"/>
        <v>0.17000000000001592</v>
      </c>
      <c r="AG205" s="2"/>
      <c r="AH205" s="29"/>
    </row>
    <row r="206" spans="1:34" x14ac:dyDescent="0.25">
      <c r="A206" s="5">
        <v>44798</v>
      </c>
      <c r="B206" s="2">
        <v>21.99</v>
      </c>
      <c r="C206" s="18">
        <f t="shared" si="710"/>
        <v>2.9999999999997584E-2</v>
      </c>
      <c r="D206" s="67">
        <v>7.52</v>
      </c>
      <c r="E206" s="107">
        <f t="shared" si="711"/>
        <v>9.9999999999997868E-3</v>
      </c>
      <c r="F206" s="2">
        <v>73.45</v>
      </c>
      <c r="G206" s="107">
        <f t="shared" si="712"/>
        <v>0.10000000000000853</v>
      </c>
      <c r="H206" s="2">
        <v>2.6</v>
      </c>
      <c r="I206" s="107">
        <f t="shared" si="713"/>
        <v>0</v>
      </c>
      <c r="J206" s="2">
        <v>76.540000000000006</v>
      </c>
      <c r="K206" s="18">
        <f t="shared" si="714"/>
        <v>0.14000000000000057</v>
      </c>
      <c r="L206" s="2">
        <v>50.55</v>
      </c>
      <c r="M206" s="18">
        <f t="shared" ref="M206" si="734">L206-L205</f>
        <v>4.9999999999997158E-2</v>
      </c>
      <c r="N206" s="18">
        <f t="shared" ref="N206" si="735">G206-M206</f>
        <v>5.0000000000011369E-2</v>
      </c>
      <c r="O206" s="114">
        <v>69000</v>
      </c>
      <c r="P206" s="17">
        <f t="shared" ref="P206" si="736">O206-O205</f>
        <v>9</v>
      </c>
      <c r="Q206" s="18">
        <f t="shared" ref="Q206" si="737">P206*$C$2</f>
        <v>2.6073</v>
      </c>
      <c r="R206" s="114">
        <v>1520</v>
      </c>
      <c r="S206" s="17">
        <f t="shared" ref="S206" si="738">R206-R205</f>
        <v>4</v>
      </c>
      <c r="T206" s="17"/>
      <c r="U206" s="2">
        <v>33752</v>
      </c>
      <c r="V206" s="17">
        <f t="shared" ref="V206" si="739">U206-U205</f>
        <v>3</v>
      </c>
      <c r="W206" s="18">
        <f t="shared" ref="W206" si="740">V206*$C$3</f>
        <v>0.89999999999999991</v>
      </c>
      <c r="X206" s="2">
        <v>12107</v>
      </c>
      <c r="Y206" s="108">
        <f t="shared" ref="Y206" si="741">X206-X205</f>
        <v>1</v>
      </c>
      <c r="Z206" s="18">
        <f t="shared" ref="Z206" si="742">Y206*$C$5*$G$4</f>
        <v>0.97840768094534702</v>
      </c>
      <c r="AA206" s="2">
        <v>891.07</v>
      </c>
      <c r="AB206" s="17">
        <f t="shared" ref="AB206" si="743">AA206-AA205</f>
        <v>0.48000000000001819</v>
      </c>
      <c r="AC206" s="17"/>
      <c r="AD206" s="24">
        <f t="shared" ref="AD206" si="744">C206+E206+G206+I206+K206+M206+AF206</f>
        <v>0.34999999999998543</v>
      </c>
      <c r="AE206" s="25">
        <v>140.1</v>
      </c>
      <c r="AF206" s="24">
        <f t="shared" si="722"/>
        <v>1.999999999998181E-2</v>
      </c>
      <c r="AG206" s="2"/>
      <c r="AH206" s="29"/>
    </row>
    <row r="207" spans="1:34" x14ac:dyDescent="0.25">
      <c r="A207" s="5">
        <v>44799</v>
      </c>
      <c r="B207" s="2">
        <v>22.04</v>
      </c>
      <c r="C207" s="18">
        <f t="shared" si="710"/>
        <v>5.0000000000000711E-2</v>
      </c>
      <c r="D207" s="67">
        <v>7.56</v>
      </c>
      <c r="E207" s="107">
        <f t="shared" si="711"/>
        <v>4.0000000000000036E-2</v>
      </c>
      <c r="F207" s="2">
        <v>73.55</v>
      </c>
      <c r="G207" s="107">
        <f t="shared" si="712"/>
        <v>9.9999999999994316E-2</v>
      </c>
      <c r="H207" s="2">
        <v>2.61</v>
      </c>
      <c r="I207" s="107">
        <f t="shared" si="713"/>
        <v>9.9999999999997868E-3</v>
      </c>
      <c r="J207" s="2">
        <v>76.650000000000006</v>
      </c>
      <c r="K207" s="18">
        <f t="shared" si="714"/>
        <v>0.10999999999999943</v>
      </c>
      <c r="L207" s="2">
        <v>50.62</v>
      </c>
      <c r="M207" s="18">
        <f t="shared" ref="M207" si="745">L207-L206</f>
        <v>7.0000000000000284E-2</v>
      </c>
      <c r="N207" s="18">
        <f t="shared" ref="N207" si="746">G207-M207</f>
        <v>2.9999999999994031E-2</v>
      </c>
      <c r="O207" s="114">
        <v>69008</v>
      </c>
      <c r="P207" s="17">
        <f t="shared" ref="P207" si="747">O207-O206</f>
        <v>8</v>
      </c>
      <c r="Q207" s="18">
        <f t="shared" ref="Q207" si="748">P207*$C$2</f>
        <v>2.3176000000000001</v>
      </c>
      <c r="R207" s="114">
        <v>1525</v>
      </c>
      <c r="S207" s="17">
        <f t="shared" ref="S207" si="749">R207-R206</f>
        <v>5</v>
      </c>
      <c r="T207" s="17"/>
      <c r="U207" s="2">
        <v>33757</v>
      </c>
      <c r="V207" s="17">
        <f t="shared" ref="V207" si="750">U207-U206</f>
        <v>5</v>
      </c>
      <c r="W207" s="18">
        <f t="shared" ref="W207" si="751">V207*$C$3</f>
        <v>1.5</v>
      </c>
      <c r="X207" s="2">
        <v>12107</v>
      </c>
      <c r="Y207" s="108">
        <f t="shared" ref="Y207" si="752">X207-X206</f>
        <v>0</v>
      </c>
      <c r="Z207" s="18">
        <f t="shared" ref="Z207" si="753">Y207*$C$5*$G$4</f>
        <v>0</v>
      </c>
      <c r="AA207" s="2">
        <v>891.91</v>
      </c>
      <c r="AB207" s="17">
        <f t="shared" ref="AB207" si="754">AA207-AA206</f>
        <v>0.83999999999991815</v>
      </c>
      <c r="AC207" s="17"/>
      <c r="AD207" s="24">
        <f t="shared" ref="AD207" si="755">C207+E207+G207+I207+K207+M207+AF207</f>
        <v>0.47999999999998888</v>
      </c>
      <c r="AE207" s="25">
        <v>140.19999999999999</v>
      </c>
      <c r="AF207" s="24">
        <f t="shared" si="722"/>
        <v>9.9999999999994316E-2</v>
      </c>
      <c r="AG207" s="2"/>
      <c r="AH207" s="29"/>
    </row>
    <row r="208" spans="1:34" x14ac:dyDescent="0.25">
      <c r="A208" s="5">
        <v>44800</v>
      </c>
      <c r="B208" s="2">
        <v>22.24</v>
      </c>
      <c r="C208" s="18">
        <f t="shared" si="710"/>
        <v>0.19999999999999929</v>
      </c>
      <c r="D208" s="67">
        <v>7.57</v>
      </c>
      <c r="E208" s="107">
        <f t="shared" si="711"/>
        <v>1.0000000000000675E-2</v>
      </c>
      <c r="F208" s="2">
        <v>73.67</v>
      </c>
      <c r="G208" s="107">
        <f t="shared" si="712"/>
        <v>0.12000000000000455</v>
      </c>
      <c r="H208" s="2">
        <v>2.61</v>
      </c>
      <c r="I208" s="107">
        <f t="shared" si="713"/>
        <v>0</v>
      </c>
      <c r="J208" s="2">
        <v>76.81</v>
      </c>
      <c r="K208" s="18">
        <f t="shared" si="714"/>
        <v>0.15999999999999659</v>
      </c>
      <c r="L208" s="2">
        <v>50.68</v>
      </c>
      <c r="M208" s="18">
        <f t="shared" ref="M208:M209" si="756">L208-L207</f>
        <v>6.0000000000002274E-2</v>
      </c>
      <c r="N208" s="18">
        <f t="shared" ref="N208:N209" si="757">G208-M208</f>
        <v>6.0000000000002274E-2</v>
      </c>
      <c r="O208" s="114">
        <v>69016</v>
      </c>
      <c r="P208" s="17">
        <f t="shared" ref="P208:P209" si="758">O208-O207</f>
        <v>8</v>
      </c>
      <c r="Q208" s="18">
        <f t="shared" ref="Q208:Q209" si="759">P208*$C$2</f>
        <v>2.3176000000000001</v>
      </c>
      <c r="R208" s="114">
        <v>1529</v>
      </c>
      <c r="S208" s="17">
        <f t="shared" ref="S208:S209" si="760">R208-R207</f>
        <v>4</v>
      </c>
      <c r="T208" s="17"/>
      <c r="U208" s="2">
        <v>33764</v>
      </c>
      <c r="V208" s="17">
        <f t="shared" ref="V208:V209" si="761">U208-U207</f>
        <v>7</v>
      </c>
      <c r="W208" s="18">
        <f t="shared" ref="W208:W209" si="762">V208*$C$3</f>
        <v>2.1</v>
      </c>
      <c r="X208" s="2">
        <v>12108</v>
      </c>
      <c r="Y208" s="108">
        <f t="shared" ref="Y208:Y209" si="763">X208-X207</f>
        <v>1</v>
      </c>
      <c r="Z208" s="18">
        <f t="shared" ref="Z208:Z209" si="764">Y208*$C$5*$G$4</f>
        <v>0.97840768094534702</v>
      </c>
      <c r="AA208" s="2">
        <v>892.8</v>
      </c>
      <c r="AB208" s="17">
        <f t="shared" ref="AB208:AB209" si="765">AA208-AA207</f>
        <v>0.88999999999998636</v>
      </c>
      <c r="AC208" s="17"/>
      <c r="AD208" s="24">
        <f t="shared" ref="AD208:AD209" si="766">C208+E208+G208+I208+K208+M208+AF208</f>
        <v>0.55000000000000338</v>
      </c>
      <c r="AE208" s="25">
        <v>140.19999999999999</v>
      </c>
      <c r="AF208" s="24">
        <f t="shared" si="722"/>
        <v>0</v>
      </c>
      <c r="AG208" s="2"/>
      <c r="AH208" s="29"/>
    </row>
    <row r="209" spans="1:34" x14ac:dyDescent="0.25">
      <c r="A209" s="5">
        <v>44801</v>
      </c>
      <c r="B209" s="2">
        <v>22.34</v>
      </c>
      <c r="C209" s="18">
        <f t="shared" si="710"/>
        <v>0.10000000000000142</v>
      </c>
      <c r="D209" s="67">
        <v>7.61</v>
      </c>
      <c r="E209" s="107">
        <f t="shared" si="711"/>
        <v>4.0000000000000036E-2</v>
      </c>
      <c r="F209" s="2">
        <v>73.8</v>
      </c>
      <c r="G209" s="107">
        <f t="shared" si="712"/>
        <v>0.12999999999999545</v>
      </c>
      <c r="H209" s="2">
        <v>2.61</v>
      </c>
      <c r="I209" s="107">
        <f t="shared" si="713"/>
        <v>0</v>
      </c>
      <c r="J209" s="2">
        <v>77.010000000000005</v>
      </c>
      <c r="K209" s="18">
        <f t="shared" si="714"/>
        <v>0.20000000000000284</v>
      </c>
      <c r="L209" s="2">
        <v>50.79</v>
      </c>
      <c r="M209" s="18">
        <f t="shared" si="756"/>
        <v>0.10999999999999943</v>
      </c>
      <c r="N209" s="18">
        <f t="shared" si="757"/>
        <v>1.9999999999996021E-2</v>
      </c>
      <c r="O209" s="114">
        <v>69025</v>
      </c>
      <c r="P209" s="17">
        <f t="shared" si="758"/>
        <v>9</v>
      </c>
      <c r="Q209" s="18">
        <f t="shared" si="759"/>
        <v>2.6073</v>
      </c>
      <c r="R209" s="114">
        <v>1533</v>
      </c>
      <c r="S209" s="17">
        <f t="shared" si="760"/>
        <v>4</v>
      </c>
      <c r="T209" s="17"/>
      <c r="U209" s="2">
        <v>33769</v>
      </c>
      <c r="V209" s="17">
        <f t="shared" si="761"/>
        <v>5</v>
      </c>
      <c r="W209" s="18">
        <f t="shared" si="762"/>
        <v>1.5</v>
      </c>
      <c r="X209" s="2">
        <v>12109</v>
      </c>
      <c r="Y209" s="108">
        <f t="shared" si="763"/>
        <v>1</v>
      </c>
      <c r="Z209" s="18">
        <f t="shared" si="764"/>
        <v>0.97840768094534702</v>
      </c>
      <c r="AA209" s="2">
        <v>893.57</v>
      </c>
      <c r="AB209" s="17">
        <f t="shared" si="765"/>
        <v>0.7700000000000955</v>
      </c>
      <c r="AC209" s="17"/>
      <c r="AD209" s="24">
        <f t="shared" si="766"/>
        <v>0.57999999999999918</v>
      </c>
      <c r="AE209" s="25">
        <v>140.19999999999999</v>
      </c>
      <c r="AF209" s="24">
        <f t="shared" si="722"/>
        <v>0</v>
      </c>
      <c r="AG209" s="2"/>
      <c r="AH209" s="29"/>
    </row>
    <row r="210" spans="1:34" x14ac:dyDescent="0.25">
      <c r="A210" s="5">
        <v>44802</v>
      </c>
      <c r="B210" s="2">
        <v>22.42</v>
      </c>
      <c r="C210" s="18">
        <f t="shared" si="710"/>
        <v>8.0000000000001847E-2</v>
      </c>
      <c r="D210" s="67">
        <v>7.62</v>
      </c>
      <c r="E210" s="107">
        <f t="shared" si="711"/>
        <v>9.9999999999997868E-3</v>
      </c>
      <c r="F210" s="2">
        <v>73.86</v>
      </c>
      <c r="G210" s="107">
        <f t="shared" si="712"/>
        <v>6.0000000000002274E-2</v>
      </c>
      <c r="H210" s="2">
        <v>2.61</v>
      </c>
      <c r="I210" s="107">
        <f t="shared" si="713"/>
        <v>0</v>
      </c>
      <c r="J210" s="2">
        <v>77.14</v>
      </c>
      <c r="K210" s="18">
        <f t="shared" si="714"/>
        <v>0.12999999999999545</v>
      </c>
      <c r="L210" s="2">
        <v>50.85</v>
      </c>
      <c r="M210" s="18">
        <f t="shared" ref="M210:M211" si="767">L210-L209</f>
        <v>6.0000000000002274E-2</v>
      </c>
      <c r="N210" s="18">
        <f t="shared" ref="N210:N211" si="768">G210-M210</f>
        <v>0</v>
      </c>
      <c r="O210" s="114">
        <v>69032</v>
      </c>
      <c r="P210" s="17">
        <f t="shared" ref="P210" si="769">O210-O209</f>
        <v>7</v>
      </c>
      <c r="Q210" s="18">
        <f t="shared" ref="Q210" si="770">P210*$C$2</f>
        <v>2.0279000000000003</v>
      </c>
      <c r="R210" s="114">
        <v>1536</v>
      </c>
      <c r="S210" s="17">
        <f t="shared" ref="S210" si="771">R210-R209</f>
        <v>3</v>
      </c>
      <c r="T210" s="17"/>
      <c r="U210" s="2">
        <v>33777</v>
      </c>
      <c r="V210" s="17">
        <f t="shared" ref="V210" si="772">U210-U209</f>
        <v>8</v>
      </c>
      <c r="W210" s="18">
        <f t="shared" ref="W210" si="773">V210*$C$3</f>
        <v>2.4</v>
      </c>
      <c r="X210" s="2">
        <v>12110</v>
      </c>
      <c r="Y210" s="108">
        <f t="shared" ref="Y210" si="774">X210-X209</f>
        <v>1</v>
      </c>
      <c r="Z210" s="18">
        <f t="shared" ref="Z210" si="775">Y210*$C$5*$G$4</f>
        <v>0.97840768094534702</v>
      </c>
      <c r="AA210" s="2">
        <v>894.49</v>
      </c>
      <c r="AB210" s="17">
        <f t="shared" ref="AB210" si="776">AA210-AA209</f>
        <v>0.91999999999995907</v>
      </c>
      <c r="AC210" s="17"/>
      <c r="AD210" s="24">
        <f t="shared" ref="AD210" si="777">C210+E210+G210+I210+K210+M210+AF210</f>
        <v>0.34000000000000163</v>
      </c>
      <c r="AE210" s="25">
        <v>140.19999999999999</v>
      </c>
      <c r="AF210" s="24">
        <f t="shared" si="722"/>
        <v>0</v>
      </c>
      <c r="AG210" s="2"/>
      <c r="AH210" s="29"/>
    </row>
    <row r="211" spans="1:34" x14ac:dyDescent="0.25">
      <c r="A211" s="5">
        <v>44803</v>
      </c>
      <c r="B211" s="2">
        <v>22.51</v>
      </c>
      <c r="C211" s="18">
        <f t="shared" si="710"/>
        <v>8.9999999999999858E-2</v>
      </c>
      <c r="D211" s="67">
        <v>7.65</v>
      </c>
      <c r="E211" s="107">
        <f t="shared" si="711"/>
        <v>3.0000000000000249E-2</v>
      </c>
      <c r="F211" s="2">
        <v>74</v>
      </c>
      <c r="G211" s="107">
        <f t="shared" si="712"/>
        <v>0.14000000000000057</v>
      </c>
      <c r="H211" s="2">
        <v>2.62</v>
      </c>
      <c r="I211" s="107">
        <f t="shared" si="713"/>
        <v>1.0000000000000231E-2</v>
      </c>
      <c r="J211" s="2">
        <v>77.260000000000005</v>
      </c>
      <c r="K211" s="18">
        <f t="shared" si="714"/>
        <v>0.12000000000000455</v>
      </c>
      <c r="L211" s="2">
        <v>50.9</v>
      </c>
      <c r="M211" s="18">
        <f t="shared" si="767"/>
        <v>4.9999999999997158E-2</v>
      </c>
      <c r="N211" s="18">
        <f t="shared" si="768"/>
        <v>9.0000000000003411E-2</v>
      </c>
      <c r="O211" s="114">
        <v>69041</v>
      </c>
      <c r="P211" s="17">
        <f t="shared" ref="P211" si="778">O211-O210</f>
        <v>9</v>
      </c>
      <c r="Q211" s="18">
        <f t="shared" ref="Q211" si="779">P211*$C$2</f>
        <v>2.6073</v>
      </c>
      <c r="R211" s="114">
        <v>1540</v>
      </c>
      <c r="S211" s="17">
        <f t="shared" ref="S211" si="780">R211-R210</f>
        <v>4</v>
      </c>
      <c r="T211" s="17"/>
      <c r="U211" s="2">
        <v>33782</v>
      </c>
      <c r="V211" s="17">
        <f t="shared" ref="V211" si="781">U211-U210</f>
        <v>5</v>
      </c>
      <c r="W211" s="18">
        <f t="shared" ref="W211" si="782">V211*$C$3</f>
        <v>1.5</v>
      </c>
      <c r="X211" s="2">
        <v>12111</v>
      </c>
      <c r="Y211" s="108">
        <f t="shared" ref="Y211" si="783">X211-X210</f>
        <v>1</v>
      </c>
      <c r="Z211" s="18">
        <f t="shared" ref="Z211" si="784">Y211*$C$5*$G$4</f>
        <v>0.97840768094534702</v>
      </c>
      <c r="AA211" s="2">
        <v>895.27</v>
      </c>
      <c r="AB211" s="17">
        <f t="shared" ref="AB211" si="785">AA211-AA210</f>
        <v>0.77999999999997272</v>
      </c>
      <c r="AC211" s="17"/>
      <c r="AD211" s="24">
        <f t="shared" ref="AD211" si="786">C211+E211+G211+I211+K211+M211+AF211</f>
        <v>0.44000000000000261</v>
      </c>
      <c r="AE211" s="25">
        <v>140.19999999999999</v>
      </c>
      <c r="AF211" s="24">
        <f t="shared" si="722"/>
        <v>0</v>
      </c>
      <c r="AG211" s="2"/>
      <c r="AH211" s="29"/>
    </row>
    <row r="212" spans="1:34" x14ac:dyDescent="0.25">
      <c r="A212" s="5">
        <v>44804</v>
      </c>
      <c r="B212" s="2">
        <v>22.54</v>
      </c>
      <c r="C212" s="18">
        <f t="shared" si="710"/>
        <v>2.9999999999997584E-2</v>
      </c>
      <c r="D212" s="67">
        <v>7.67</v>
      </c>
      <c r="E212" s="107">
        <f t="shared" si="711"/>
        <v>1.9999999999999574E-2</v>
      </c>
      <c r="F212" s="2">
        <v>74.08</v>
      </c>
      <c r="G212" s="107">
        <f t="shared" si="712"/>
        <v>7.9999999999998295E-2</v>
      </c>
      <c r="H212" s="2">
        <v>2.62</v>
      </c>
      <c r="I212" s="107">
        <f t="shared" si="713"/>
        <v>0</v>
      </c>
      <c r="J212" s="2">
        <v>77.430000000000007</v>
      </c>
      <c r="K212" s="18">
        <f t="shared" si="714"/>
        <v>0.17000000000000171</v>
      </c>
      <c r="L212" s="2">
        <v>50.96</v>
      </c>
      <c r="M212" s="18">
        <f t="shared" ref="M212" si="787">L212-L211</f>
        <v>6.0000000000002274E-2</v>
      </c>
      <c r="N212" s="18">
        <f t="shared" ref="N212" si="788">G212-M212</f>
        <v>1.9999999999996021E-2</v>
      </c>
      <c r="O212" s="114">
        <v>69050</v>
      </c>
      <c r="P212" s="17">
        <f t="shared" ref="P212" si="789">O212-O211</f>
        <v>9</v>
      </c>
      <c r="Q212" s="18">
        <f t="shared" ref="Q212" si="790">P212*$C$2</f>
        <v>2.6073</v>
      </c>
      <c r="R212" s="114">
        <v>1546</v>
      </c>
      <c r="S212" s="17">
        <f t="shared" ref="S212" si="791">R212-R211</f>
        <v>6</v>
      </c>
      <c r="T212" s="17"/>
      <c r="U212" s="2">
        <v>33787</v>
      </c>
      <c r="V212" s="17">
        <f t="shared" ref="V212" si="792">U212-U211</f>
        <v>5</v>
      </c>
      <c r="W212" s="18">
        <f t="shared" ref="W212" si="793">V212*$C$3</f>
        <v>1.5</v>
      </c>
      <c r="X212" s="2">
        <v>12111</v>
      </c>
      <c r="Y212" s="108">
        <f t="shared" ref="Y212" si="794">X212-X211</f>
        <v>0</v>
      </c>
      <c r="Z212" s="18">
        <f t="shared" ref="Z212" si="795">Y212*$C$5*$G$4</f>
        <v>0</v>
      </c>
      <c r="AA212" s="2">
        <v>896.11</v>
      </c>
      <c r="AB212" s="17">
        <f t="shared" ref="AB212" si="796">AA212-AA211</f>
        <v>0.84000000000003183</v>
      </c>
      <c r="AC212" s="17"/>
      <c r="AD212" s="24">
        <f t="shared" ref="AD212:AD218" si="797">C212+E212+G212+I212+K212+M212+AF212</f>
        <v>0.54000000000000625</v>
      </c>
      <c r="AE212" s="25">
        <v>140.38</v>
      </c>
      <c r="AF212" s="24">
        <f t="shared" si="722"/>
        <v>0.18000000000000682</v>
      </c>
      <c r="AG212" s="2"/>
      <c r="AH212" s="29"/>
    </row>
    <row r="213" spans="1:34" x14ac:dyDescent="0.25">
      <c r="A213" s="32" t="s">
        <v>117</v>
      </c>
      <c r="B213" s="66"/>
      <c r="C213" s="34">
        <f>SUM(C183:C212)</f>
        <v>1.9800000000000004</v>
      </c>
      <c r="D213" s="61"/>
      <c r="E213" s="66">
        <f t="shared" ref="E213:K213" si="798">SUM(E183:E212)</f>
        <v>0.57000000000000028</v>
      </c>
      <c r="F213" s="61"/>
      <c r="G213" s="66">
        <f t="shared" si="798"/>
        <v>3.2199999999999989</v>
      </c>
      <c r="H213" s="61"/>
      <c r="I213" s="34">
        <f t="shared" si="798"/>
        <v>0.10000000000000009</v>
      </c>
      <c r="J213" s="61"/>
      <c r="K213" s="66">
        <f t="shared" si="798"/>
        <v>3.9900000000000091</v>
      </c>
      <c r="L213" s="61"/>
      <c r="M213" s="66">
        <f>SUM(M183:M212)</f>
        <v>1.7800000000000011</v>
      </c>
      <c r="N213" s="34">
        <f>SUM(N183:N212)</f>
        <v>1.4399999999999977</v>
      </c>
      <c r="O213" s="116"/>
      <c r="P213" s="33">
        <f>SUM(P183:P212)</f>
        <v>245.00000000000003</v>
      </c>
      <c r="Q213" s="109">
        <f>SUM(Q183:Q212)</f>
        <v>70.976499999999987</v>
      </c>
      <c r="R213" s="116" t="s">
        <v>63</v>
      </c>
      <c r="S213" s="34">
        <f>SUM(S183:S212)</f>
        <v>115.96000000000021</v>
      </c>
      <c r="T213" s="34"/>
      <c r="U213" s="34"/>
      <c r="V213" s="34">
        <f>SUM(V182:V212)</f>
        <v>133</v>
      </c>
      <c r="W213" s="109">
        <f>SUM(W183:W212)</f>
        <v>38.399999999999984</v>
      </c>
      <c r="X213" s="34"/>
      <c r="Y213" s="129">
        <f>SUM(Y182:Y212)</f>
        <v>25</v>
      </c>
      <c r="Z213" s="109">
        <f>SUM(Z183:Z212)</f>
        <v>22.524968980797624</v>
      </c>
      <c r="AA213" s="34"/>
      <c r="AB213" s="61">
        <f>SUM(AB183:AB212)</f>
        <v>21.07000000000005</v>
      </c>
      <c r="AC213" s="34"/>
      <c r="AD213" s="34">
        <f t="shared" si="797"/>
        <v>13.180000000000001</v>
      </c>
      <c r="AE213" s="61"/>
      <c r="AF213" s="34">
        <f>SUM(AF182:AF212)</f>
        <v>1.539999999999992</v>
      </c>
      <c r="AG213" s="34"/>
      <c r="AH213" s="29"/>
    </row>
    <row r="214" spans="1:34" x14ac:dyDescent="0.25">
      <c r="A214" s="5">
        <v>44805</v>
      </c>
      <c r="B214" s="2">
        <v>22.55</v>
      </c>
      <c r="C214" s="18">
        <f>B214-B212</f>
        <v>1.0000000000001563E-2</v>
      </c>
      <c r="D214" s="67">
        <v>7.7</v>
      </c>
      <c r="E214" s="107">
        <f>D214-D212</f>
        <v>3.0000000000000249E-2</v>
      </c>
      <c r="F214" s="2">
        <v>74.16</v>
      </c>
      <c r="G214" s="107">
        <f>F214-F212</f>
        <v>7.9999999999998295E-2</v>
      </c>
      <c r="H214" s="2">
        <v>2.63</v>
      </c>
      <c r="I214" s="107">
        <f>H214-H212</f>
        <v>9.9999999999997868E-3</v>
      </c>
      <c r="J214" s="2">
        <v>77.58</v>
      </c>
      <c r="K214" s="18">
        <f>J214-J212</f>
        <v>0.14999999999999147</v>
      </c>
      <c r="L214" s="2">
        <v>51.03</v>
      </c>
      <c r="M214" s="18">
        <f>L214-L212</f>
        <v>7.0000000000000284E-2</v>
      </c>
      <c r="N214" s="18">
        <f t="shared" ref="N214" si="799">G214-M214</f>
        <v>9.9999999999980105E-3</v>
      </c>
      <c r="O214" s="114">
        <v>69060</v>
      </c>
      <c r="P214" s="17">
        <f>O214-O212</f>
        <v>10</v>
      </c>
      <c r="Q214" s="18">
        <f t="shared" ref="Q214:Q215" si="800">P214*$C$2</f>
        <v>2.8970000000000002</v>
      </c>
      <c r="R214" s="114">
        <v>1550</v>
      </c>
      <c r="S214" s="17">
        <f>R214-R212</f>
        <v>4</v>
      </c>
      <c r="T214" s="17"/>
      <c r="U214" s="2">
        <v>33789</v>
      </c>
      <c r="V214" s="17">
        <f>U214-U212</f>
        <v>2</v>
      </c>
      <c r="W214" s="18">
        <f t="shared" ref="W214:W215" si="801">V214*$C$3</f>
        <v>0.6</v>
      </c>
      <c r="X214" s="2">
        <v>12112</v>
      </c>
      <c r="Y214" s="108">
        <f>X214-X212</f>
        <v>1</v>
      </c>
      <c r="Z214" s="18">
        <f t="shared" ref="Z214:Z218" si="802">Y214*$C$5*$G$4</f>
        <v>0.97840768094534702</v>
      </c>
      <c r="AA214" s="2">
        <v>896.56</v>
      </c>
      <c r="AB214" s="17">
        <f>AA214-AA212</f>
        <v>0.44999999999993179</v>
      </c>
      <c r="AC214" s="17"/>
      <c r="AD214" s="24">
        <f t="shared" si="797"/>
        <v>0.37000000000000188</v>
      </c>
      <c r="AE214" s="25">
        <v>140.4</v>
      </c>
      <c r="AF214" s="24">
        <f>AE214-AE212</f>
        <v>2.0000000000010232E-2</v>
      </c>
      <c r="AG214" s="2"/>
      <c r="AH214" s="29"/>
    </row>
    <row r="215" spans="1:34" x14ac:dyDescent="0.25">
      <c r="A215" s="5">
        <v>44806</v>
      </c>
      <c r="B215" s="2">
        <v>22.57</v>
      </c>
      <c r="C215" s="18">
        <f t="shared" ref="C215:C243" si="803">B215-B214</f>
        <v>1.9999999999999574E-2</v>
      </c>
      <c r="D215" s="67">
        <v>7.7</v>
      </c>
      <c r="E215" s="18">
        <f t="shared" ref="E215:E243" si="804">D215-D214</f>
        <v>0</v>
      </c>
      <c r="F215" s="2">
        <v>74.3</v>
      </c>
      <c r="G215" s="107">
        <f t="shared" ref="G215:G243" si="805">F215-F214</f>
        <v>0.14000000000000057</v>
      </c>
      <c r="H215" s="2">
        <v>2.63</v>
      </c>
      <c r="I215" s="18">
        <f t="shared" ref="I215:I243" si="806">H215-H214</f>
        <v>0</v>
      </c>
      <c r="J215" s="2">
        <v>77.72</v>
      </c>
      <c r="K215" s="18">
        <f t="shared" ref="K215:K243" si="807">J215-J214</f>
        <v>0.14000000000000057</v>
      </c>
      <c r="L215" s="2">
        <v>51.09</v>
      </c>
      <c r="M215" s="18">
        <f t="shared" ref="M215:M221" si="808">L215-L214</f>
        <v>6.0000000000002274E-2</v>
      </c>
      <c r="N215" s="18">
        <f t="shared" ref="N215:N220" si="809">G215-M215</f>
        <v>7.9999999999998295E-2</v>
      </c>
      <c r="O215" s="114">
        <v>69070</v>
      </c>
      <c r="P215" s="17">
        <f t="shared" ref="P215" si="810">O215-O214</f>
        <v>10</v>
      </c>
      <c r="Q215" s="18">
        <f t="shared" si="800"/>
        <v>2.8970000000000002</v>
      </c>
      <c r="R215" s="114">
        <v>1555</v>
      </c>
      <c r="S215" s="17">
        <f t="shared" ref="S215" si="811">R215-R214</f>
        <v>5</v>
      </c>
      <c r="T215" s="17"/>
      <c r="U215" s="2">
        <v>33790</v>
      </c>
      <c r="V215" s="17">
        <f t="shared" ref="V215:V221" si="812">U215-U214</f>
        <v>1</v>
      </c>
      <c r="W215" s="18">
        <f t="shared" si="801"/>
        <v>0.3</v>
      </c>
      <c r="X215" s="2">
        <v>12113</v>
      </c>
      <c r="Y215" s="108">
        <f t="shared" ref="Y215:Y221" si="813">X215-X214</f>
        <v>1</v>
      </c>
      <c r="Z215" s="18">
        <f t="shared" si="802"/>
        <v>0.97840768094534702</v>
      </c>
      <c r="AA215" s="2">
        <v>897.35</v>
      </c>
      <c r="AB215" s="18">
        <f t="shared" ref="AB215:AB221" si="814">AA215-AA214</f>
        <v>0.79000000000007731</v>
      </c>
      <c r="AC215" s="18"/>
      <c r="AD215" s="24">
        <f t="shared" si="797"/>
        <v>0.51999999999999957</v>
      </c>
      <c r="AE215" s="25">
        <v>140.56</v>
      </c>
      <c r="AF215" s="24">
        <f t="shared" ref="AF215:AF230" si="815">AE215-AE214</f>
        <v>0.15999999999999659</v>
      </c>
      <c r="AG215" s="2"/>
      <c r="AH215" s="29"/>
    </row>
    <row r="216" spans="1:34" x14ac:dyDescent="0.25">
      <c r="A216" s="5">
        <v>44807</v>
      </c>
      <c r="B216" s="2">
        <v>22.62</v>
      </c>
      <c r="C216" s="18">
        <f t="shared" si="803"/>
        <v>5.0000000000000711E-2</v>
      </c>
      <c r="D216" s="67">
        <v>7.73</v>
      </c>
      <c r="E216" s="18">
        <f t="shared" si="804"/>
        <v>3.0000000000000249E-2</v>
      </c>
      <c r="F216" s="2">
        <v>74.44</v>
      </c>
      <c r="G216" s="107">
        <f t="shared" si="805"/>
        <v>0.14000000000000057</v>
      </c>
      <c r="H216" s="2">
        <v>2.63</v>
      </c>
      <c r="I216" s="18">
        <f t="shared" si="806"/>
        <v>0</v>
      </c>
      <c r="J216" s="2">
        <v>77.84</v>
      </c>
      <c r="K216" s="18">
        <f t="shared" si="807"/>
        <v>0.12000000000000455</v>
      </c>
      <c r="L216" s="2">
        <v>51.14</v>
      </c>
      <c r="M216" s="18">
        <f t="shared" si="808"/>
        <v>4.9999999999997158E-2</v>
      </c>
      <c r="N216" s="18">
        <f t="shared" si="809"/>
        <v>9.0000000000003411E-2</v>
      </c>
      <c r="O216" s="114">
        <v>69076</v>
      </c>
      <c r="P216" s="17">
        <f t="shared" ref="P216" si="816">O216-O215</f>
        <v>6</v>
      </c>
      <c r="Q216" s="18">
        <f t="shared" ref="Q216" si="817">P216*$C$2</f>
        <v>1.7382</v>
      </c>
      <c r="R216" s="114">
        <v>1561</v>
      </c>
      <c r="S216" s="17">
        <f t="shared" ref="S216" si="818">R216-R215</f>
        <v>6</v>
      </c>
      <c r="T216" s="17"/>
      <c r="U216" s="2">
        <v>33794</v>
      </c>
      <c r="V216" s="17">
        <f t="shared" si="812"/>
        <v>4</v>
      </c>
      <c r="W216" s="18">
        <f t="shared" ref="W216" si="819">V216*$C$3</f>
        <v>1.2</v>
      </c>
      <c r="X216" s="2">
        <v>12114</v>
      </c>
      <c r="Y216" s="108">
        <f t="shared" si="813"/>
        <v>1</v>
      </c>
      <c r="Z216" s="18">
        <f t="shared" si="802"/>
        <v>0.97840768094534702</v>
      </c>
      <c r="AA216" s="2">
        <v>898.12</v>
      </c>
      <c r="AB216" s="18">
        <f t="shared" si="814"/>
        <v>0.76999999999998181</v>
      </c>
      <c r="AC216" s="18"/>
      <c r="AD216" s="24">
        <f t="shared" si="797"/>
        <v>0.42999999999999527</v>
      </c>
      <c r="AE216" s="25">
        <v>140.6</v>
      </c>
      <c r="AF216" s="24">
        <f t="shared" si="815"/>
        <v>3.9999999999992042E-2</v>
      </c>
      <c r="AG216" s="2"/>
      <c r="AH216" s="29"/>
    </row>
    <row r="217" spans="1:34" x14ac:dyDescent="0.25">
      <c r="A217" s="5">
        <v>44808</v>
      </c>
      <c r="B217" s="2">
        <v>22.63</v>
      </c>
      <c r="C217" s="18">
        <f t="shared" si="803"/>
        <v>9.9999999999980105E-3</v>
      </c>
      <c r="D217" s="67">
        <v>7.81</v>
      </c>
      <c r="E217" s="18">
        <f t="shared" si="804"/>
        <v>7.9999999999999183E-2</v>
      </c>
      <c r="F217" s="2">
        <v>74.69</v>
      </c>
      <c r="G217" s="107">
        <f t="shared" si="805"/>
        <v>0.25</v>
      </c>
      <c r="H217" s="2">
        <v>2.66</v>
      </c>
      <c r="I217" s="18">
        <f t="shared" si="806"/>
        <v>3.0000000000000249E-2</v>
      </c>
      <c r="J217" s="2">
        <v>77.989999999999995</v>
      </c>
      <c r="K217" s="18">
        <f t="shared" si="807"/>
        <v>0.14999999999999147</v>
      </c>
      <c r="L217" s="2">
        <v>51.22</v>
      </c>
      <c r="M217" s="18">
        <f t="shared" si="808"/>
        <v>7.9999999999998295E-2</v>
      </c>
      <c r="N217" s="18">
        <f t="shared" si="809"/>
        <v>0.17000000000000171</v>
      </c>
      <c r="O217" s="114">
        <v>69085</v>
      </c>
      <c r="P217" s="17">
        <f t="shared" ref="P217" si="820">O217-O216</f>
        <v>9</v>
      </c>
      <c r="Q217" s="18">
        <f t="shared" ref="Q217" si="821">P217*$C$2</f>
        <v>2.6073</v>
      </c>
      <c r="R217" s="114">
        <v>1565</v>
      </c>
      <c r="S217" s="17">
        <f t="shared" ref="S217" si="822">R217-R216</f>
        <v>4</v>
      </c>
      <c r="T217" s="17"/>
      <c r="U217" s="2">
        <v>33798</v>
      </c>
      <c r="V217" s="17">
        <f t="shared" si="812"/>
        <v>4</v>
      </c>
      <c r="W217" s="18">
        <f t="shared" ref="W217" si="823">V217*$C$3</f>
        <v>1.2</v>
      </c>
      <c r="X217" s="2">
        <v>12116</v>
      </c>
      <c r="Y217" s="108">
        <f t="shared" si="813"/>
        <v>2</v>
      </c>
      <c r="Z217" s="18">
        <f t="shared" si="802"/>
        <v>1.956815361890694</v>
      </c>
      <c r="AA217" s="2">
        <v>899.11</v>
      </c>
      <c r="AB217" s="18">
        <f t="shared" si="814"/>
        <v>0.99000000000000909</v>
      </c>
      <c r="AC217" s="18"/>
      <c r="AD217" s="24">
        <f t="shared" si="797"/>
        <v>0.59999999999998721</v>
      </c>
      <c r="AE217" s="25">
        <v>140.6</v>
      </c>
      <c r="AF217" s="24">
        <f t="shared" si="815"/>
        <v>0</v>
      </c>
      <c r="AG217" s="2"/>
      <c r="AH217" s="29"/>
    </row>
    <row r="218" spans="1:34" x14ac:dyDescent="0.25">
      <c r="A218" s="5">
        <v>44809</v>
      </c>
      <c r="B218" s="2">
        <v>22.66</v>
      </c>
      <c r="C218" s="18">
        <f t="shared" si="803"/>
        <v>3.0000000000001137E-2</v>
      </c>
      <c r="D218" s="67">
        <v>7.81</v>
      </c>
      <c r="E218" s="18">
        <f t="shared" si="804"/>
        <v>0</v>
      </c>
      <c r="F218" s="2">
        <v>74.760000000000005</v>
      </c>
      <c r="G218" s="107">
        <f t="shared" si="805"/>
        <v>7.000000000000739E-2</v>
      </c>
      <c r="H218" s="2">
        <v>2.66</v>
      </c>
      <c r="I218" s="18">
        <f t="shared" si="806"/>
        <v>0</v>
      </c>
      <c r="J218" s="2">
        <v>78.14</v>
      </c>
      <c r="K218" s="18">
        <f t="shared" si="807"/>
        <v>0.15000000000000568</v>
      </c>
      <c r="L218" s="2">
        <v>51.29</v>
      </c>
      <c r="M218" s="18">
        <f t="shared" si="808"/>
        <v>7.0000000000000284E-2</v>
      </c>
      <c r="N218" s="18">
        <f t="shared" si="809"/>
        <v>7.1054273576010019E-15</v>
      </c>
      <c r="O218" s="114">
        <v>69093</v>
      </c>
      <c r="P218" s="17">
        <f t="shared" ref="P218" si="824">O218-O217</f>
        <v>8</v>
      </c>
      <c r="Q218" s="18">
        <f t="shared" ref="Q218" si="825">P218*$C$2</f>
        <v>2.3176000000000001</v>
      </c>
      <c r="R218" s="114">
        <v>1566</v>
      </c>
      <c r="S218" s="17">
        <f t="shared" ref="S218" si="826">R218-R217</f>
        <v>1</v>
      </c>
      <c r="T218" s="17"/>
      <c r="U218" s="2">
        <v>33803</v>
      </c>
      <c r="V218" s="17">
        <f t="shared" si="812"/>
        <v>5</v>
      </c>
      <c r="W218" s="18">
        <f t="shared" ref="W218" si="827">V218*$C$3</f>
        <v>1.5</v>
      </c>
      <c r="X218" s="2">
        <v>12116</v>
      </c>
      <c r="Y218" s="108">
        <f t="shared" si="813"/>
        <v>0</v>
      </c>
      <c r="Z218" s="18">
        <f t="shared" si="802"/>
        <v>0</v>
      </c>
      <c r="AA218" s="2">
        <v>899.59</v>
      </c>
      <c r="AB218" s="18">
        <f t="shared" si="814"/>
        <v>0.48000000000001819</v>
      </c>
      <c r="AC218" s="18"/>
      <c r="AD218" s="24">
        <f t="shared" si="797"/>
        <v>0.3200000000000145</v>
      </c>
      <c r="AE218" s="25">
        <v>140.6</v>
      </c>
      <c r="AF218" s="24">
        <f t="shared" si="815"/>
        <v>0</v>
      </c>
      <c r="AG218" s="2"/>
      <c r="AH218" s="29"/>
    </row>
    <row r="219" spans="1:34" x14ac:dyDescent="0.25">
      <c r="A219" s="5">
        <v>44810</v>
      </c>
      <c r="B219" s="2">
        <v>22.7</v>
      </c>
      <c r="C219" s="18">
        <f t="shared" si="803"/>
        <v>3.9999999999999147E-2</v>
      </c>
      <c r="D219" s="67">
        <v>7.81</v>
      </c>
      <c r="E219" s="18">
        <f t="shared" si="804"/>
        <v>0</v>
      </c>
      <c r="F219" s="2">
        <v>74.84</v>
      </c>
      <c r="G219" s="107">
        <f t="shared" si="805"/>
        <v>7.9999999999998295E-2</v>
      </c>
      <c r="H219" s="2">
        <v>2.66</v>
      </c>
      <c r="I219" s="18">
        <f t="shared" si="806"/>
        <v>0</v>
      </c>
      <c r="J219" s="2">
        <v>78.28</v>
      </c>
      <c r="K219" s="18">
        <f t="shared" si="807"/>
        <v>0.14000000000000057</v>
      </c>
      <c r="L219" s="2">
        <v>51.37</v>
      </c>
      <c r="M219" s="18">
        <f t="shared" si="808"/>
        <v>7.9999999999998295E-2</v>
      </c>
      <c r="N219" s="18">
        <f t="shared" si="809"/>
        <v>0</v>
      </c>
      <c r="O219" s="114">
        <v>69102</v>
      </c>
      <c r="P219" s="17">
        <f t="shared" ref="P219" si="828">O219-O218</f>
        <v>9</v>
      </c>
      <c r="Q219" s="18">
        <f t="shared" ref="Q219" si="829">P219*$C$2</f>
        <v>2.6073</v>
      </c>
      <c r="R219" s="114">
        <v>1569</v>
      </c>
      <c r="S219" s="17">
        <f t="shared" ref="S219" si="830">R219-R218</f>
        <v>3</v>
      </c>
      <c r="T219" s="17"/>
      <c r="U219" s="2">
        <v>33806</v>
      </c>
      <c r="V219" s="17">
        <f t="shared" si="812"/>
        <v>3</v>
      </c>
      <c r="W219" s="18">
        <f t="shared" ref="W219" si="831">V219*$C$3</f>
        <v>0.89999999999999991</v>
      </c>
      <c r="X219" s="2">
        <v>12117</v>
      </c>
      <c r="Y219" s="108">
        <f t="shared" si="813"/>
        <v>1</v>
      </c>
      <c r="Z219" s="18">
        <f t="shared" ref="Z219" si="832">Y219*$C$5*$G$4</f>
        <v>0.97840768094534702</v>
      </c>
      <c r="AA219" s="2">
        <v>899.94</v>
      </c>
      <c r="AB219" s="18">
        <f t="shared" si="814"/>
        <v>0.35000000000002274</v>
      </c>
      <c r="AC219" s="18"/>
      <c r="AD219" s="24">
        <f t="shared" ref="AD219" si="833">C219+E219+G219+I219+K219+M219+AF219</f>
        <v>0.33999999999999631</v>
      </c>
      <c r="AE219" s="25">
        <v>140.6</v>
      </c>
      <c r="AF219" s="24">
        <f t="shared" si="815"/>
        <v>0</v>
      </c>
      <c r="AG219" s="2"/>
      <c r="AH219" s="29"/>
    </row>
    <row r="220" spans="1:34" x14ac:dyDescent="0.25">
      <c r="A220" s="5">
        <v>44811</v>
      </c>
      <c r="B220" s="2">
        <v>22.72</v>
      </c>
      <c r="C220" s="18">
        <f t="shared" si="803"/>
        <v>1.9999999999999574E-2</v>
      </c>
      <c r="D220" s="67">
        <v>7.81</v>
      </c>
      <c r="E220" s="18">
        <f t="shared" si="804"/>
        <v>0</v>
      </c>
      <c r="F220" s="2">
        <v>74.900000000000006</v>
      </c>
      <c r="G220" s="107">
        <f t="shared" si="805"/>
        <v>6.0000000000002274E-2</v>
      </c>
      <c r="H220" s="2">
        <v>2.66</v>
      </c>
      <c r="I220" s="18">
        <f t="shared" si="806"/>
        <v>0</v>
      </c>
      <c r="J220" s="2">
        <v>78.430000000000007</v>
      </c>
      <c r="K220" s="18">
        <f t="shared" si="807"/>
        <v>0.15000000000000568</v>
      </c>
      <c r="L220" s="2">
        <v>51.43</v>
      </c>
      <c r="M220" s="18">
        <f t="shared" si="808"/>
        <v>6.0000000000002274E-2</v>
      </c>
      <c r="N220" s="18">
        <f t="shared" si="809"/>
        <v>0</v>
      </c>
      <c r="O220" s="114">
        <v>69112</v>
      </c>
      <c r="P220" s="17">
        <f t="shared" ref="P220" si="834">O220-O219</f>
        <v>10</v>
      </c>
      <c r="Q220" s="18">
        <f t="shared" ref="Q220" si="835">P220*$C$2</f>
        <v>2.8970000000000002</v>
      </c>
      <c r="R220" s="114">
        <v>1571</v>
      </c>
      <c r="S220" s="17">
        <f t="shared" ref="S220" si="836">R220-R219</f>
        <v>2</v>
      </c>
      <c r="T220" s="17"/>
      <c r="U220" s="2">
        <v>33807</v>
      </c>
      <c r="V220" s="17">
        <f t="shared" si="812"/>
        <v>1</v>
      </c>
      <c r="W220" s="18">
        <f t="shared" ref="W220" si="837">V220*$C$3</f>
        <v>0.3</v>
      </c>
      <c r="X220" s="2">
        <v>12118</v>
      </c>
      <c r="Y220" s="108">
        <f t="shared" si="813"/>
        <v>1</v>
      </c>
      <c r="Z220" s="18">
        <f t="shared" ref="Z220" si="838">Y220*$C$5*$G$4</f>
        <v>0.97840768094534702</v>
      </c>
      <c r="AA220" s="2">
        <v>900.25</v>
      </c>
      <c r="AB220" s="18">
        <f t="shared" si="814"/>
        <v>0.30999999999994543</v>
      </c>
      <c r="AC220" s="18"/>
      <c r="AD220" s="24">
        <f t="shared" ref="AD220" si="839">C220+E220+G220+I220+K220+M220+AF220</f>
        <v>0.29000000000000981</v>
      </c>
      <c r="AE220" s="25">
        <v>140.6</v>
      </c>
      <c r="AF220" s="24">
        <f t="shared" si="815"/>
        <v>0</v>
      </c>
      <c r="AG220" s="2"/>
      <c r="AH220" s="29"/>
    </row>
    <row r="221" spans="1:34" x14ac:dyDescent="0.25">
      <c r="A221" s="5">
        <v>44812</v>
      </c>
      <c r="B221" s="2">
        <v>22.72</v>
      </c>
      <c r="C221" s="18">
        <f t="shared" si="803"/>
        <v>0</v>
      </c>
      <c r="D221" s="67">
        <v>7.81</v>
      </c>
      <c r="E221" s="18">
        <f t="shared" si="804"/>
        <v>0</v>
      </c>
      <c r="F221" s="2">
        <v>74.959999999999994</v>
      </c>
      <c r="G221" s="107">
        <f t="shared" si="805"/>
        <v>5.9999999999988063E-2</v>
      </c>
      <c r="H221" s="2">
        <v>2.66</v>
      </c>
      <c r="I221" s="18">
        <f t="shared" si="806"/>
        <v>0</v>
      </c>
      <c r="J221" s="2">
        <v>78.540000000000006</v>
      </c>
      <c r="K221" s="18">
        <f t="shared" si="807"/>
        <v>0.10999999999999943</v>
      </c>
      <c r="L221" s="2">
        <v>51.49</v>
      </c>
      <c r="M221" s="18">
        <f t="shared" si="808"/>
        <v>6.0000000000002274E-2</v>
      </c>
      <c r="N221" s="18">
        <f t="shared" ref="N221" si="840">G221-M221</f>
        <v>-1.4210854715202004E-14</v>
      </c>
      <c r="O221" s="114">
        <v>69119</v>
      </c>
      <c r="P221" s="17">
        <f t="shared" ref="P221" si="841">O221-O220</f>
        <v>7</v>
      </c>
      <c r="Q221" s="18">
        <f t="shared" ref="Q221" si="842">P221*$C$2</f>
        <v>2.0279000000000003</v>
      </c>
      <c r="R221" s="114">
        <v>1573</v>
      </c>
      <c r="S221" s="17">
        <f t="shared" ref="S221" si="843">R221-R220</f>
        <v>2</v>
      </c>
      <c r="T221" s="17"/>
      <c r="U221" s="2">
        <v>33810</v>
      </c>
      <c r="V221" s="17">
        <f t="shared" si="812"/>
        <v>3</v>
      </c>
      <c r="W221" s="18">
        <f t="shared" ref="W221" si="844">V221*$C$3</f>
        <v>0.89999999999999991</v>
      </c>
      <c r="X221" s="2">
        <v>12118</v>
      </c>
      <c r="Y221" s="108">
        <f t="shared" si="813"/>
        <v>0</v>
      </c>
      <c r="Z221" s="18">
        <f t="shared" ref="Z221" si="845">Y221*$C$5*$G$4</f>
        <v>0</v>
      </c>
      <c r="AA221" s="2">
        <v>900.61</v>
      </c>
      <c r="AB221" s="18">
        <f t="shared" si="814"/>
        <v>0.36000000000001364</v>
      </c>
      <c r="AC221" s="18"/>
      <c r="AD221" s="24">
        <f t="shared" ref="AD221" si="846">C221+E221+G221+I221+K221+M221+AF221</f>
        <v>0.31000000000000227</v>
      </c>
      <c r="AE221" s="25">
        <v>140.68</v>
      </c>
      <c r="AF221" s="24">
        <f t="shared" si="815"/>
        <v>8.0000000000012506E-2</v>
      </c>
      <c r="AG221" s="2"/>
      <c r="AH221" s="29"/>
    </row>
    <row r="222" spans="1:34" x14ac:dyDescent="0.25">
      <c r="A222" s="5">
        <v>44813</v>
      </c>
      <c r="B222" s="2">
        <v>22.74</v>
      </c>
      <c r="C222" s="18">
        <f t="shared" si="803"/>
        <v>1.9999999999999574E-2</v>
      </c>
      <c r="D222" s="67">
        <v>7.81</v>
      </c>
      <c r="E222" s="18">
        <f t="shared" si="804"/>
        <v>0</v>
      </c>
      <c r="F222" s="2">
        <v>75.03</v>
      </c>
      <c r="G222" s="107">
        <f t="shared" si="805"/>
        <v>7.000000000000739E-2</v>
      </c>
      <c r="H222" s="2">
        <v>2.66</v>
      </c>
      <c r="I222" s="18">
        <f t="shared" si="806"/>
        <v>0</v>
      </c>
      <c r="J222" s="2">
        <v>78.680000000000007</v>
      </c>
      <c r="K222" s="18">
        <f t="shared" si="807"/>
        <v>0.14000000000000057</v>
      </c>
      <c r="L222" s="2">
        <v>51.56</v>
      </c>
      <c r="M222" s="18">
        <f t="shared" ref="M222" si="847">L222-L221</f>
        <v>7.0000000000000284E-2</v>
      </c>
      <c r="N222" s="18">
        <f t="shared" ref="N222" si="848">G222-M222</f>
        <v>7.1054273576010019E-15</v>
      </c>
      <c r="O222" s="114">
        <v>69127</v>
      </c>
      <c r="P222" s="17">
        <f t="shared" ref="P222" si="849">O222-O221</f>
        <v>8</v>
      </c>
      <c r="Q222" s="18">
        <f t="shared" ref="Q222" si="850">P222*$C$2</f>
        <v>2.3176000000000001</v>
      </c>
      <c r="R222" s="114">
        <v>1575</v>
      </c>
      <c r="S222" s="17">
        <f t="shared" ref="S222" si="851">R222-R221</f>
        <v>2</v>
      </c>
      <c r="T222" s="17"/>
      <c r="U222" s="2">
        <v>33812</v>
      </c>
      <c r="V222" s="17">
        <f t="shared" ref="V222" si="852">U222-U221</f>
        <v>2</v>
      </c>
      <c r="W222" s="18">
        <f t="shared" ref="W222" si="853">V222*$C$3</f>
        <v>0.6</v>
      </c>
      <c r="X222" s="2">
        <v>12119</v>
      </c>
      <c r="Y222" s="108">
        <f t="shared" ref="Y222" si="854">X222-X221</f>
        <v>1</v>
      </c>
      <c r="Z222" s="18">
        <f t="shared" ref="Z222" si="855">Y222*$C$5*$G$4</f>
        <v>0.97840768094534702</v>
      </c>
      <c r="AA222" s="2">
        <v>900.97</v>
      </c>
      <c r="AB222" s="18">
        <f t="shared" ref="AB222" si="856">AA222-AA221</f>
        <v>0.36000000000001364</v>
      </c>
      <c r="AC222" s="18"/>
      <c r="AD222" s="24">
        <f t="shared" ref="AD222" si="857">C222+E222+G222+I222+K222+M222+AF222</f>
        <v>0.31999999999998963</v>
      </c>
      <c r="AE222" s="25">
        <v>140.69999999999999</v>
      </c>
      <c r="AF222" s="24">
        <f t="shared" si="815"/>
        <v>1.999999999998181E-2</v>
      </c>
      <c r="AG222" s="2"/>
      <c r="AH222" s="29"/>
    </row>
    <row r="223" spans="1:34" x14ac:dyDescent="0.25">
      <c r="A223" s="5">
        <v>44814</v>
      </c>
      <c r="B223" s="2">
        <v>22.79</v>
      </c>
      <c r="C223" s="18">
        <f t="shared" si="803"/>
        <v>5.0000000000000711E-2</v>
      </c>
      <c r="D223" s="67">
        <v>7.81</v>
      </c>
      <c r="E223" s="18">
        <f t="shared" si="804"/>
        <v>0</v>
      </c>
      <c r="F223" s="2">
        <v>75.09</v>
      </c>
      <c r="G223" s="107">
        <f t="shared" si="805"/>
        <v>6.0000000000002274E-2</v>
      </c>
      <c r="H223" s="2">
        <v>2.66</v>
      </c>
      <c r="I223" s="18">
        <f t="shared" si="806"/>
        <v>0</v>
      </c>
      <c r="J223" s="2">
        <v>78.83</v>
      </c>
      <c r="K223" s="18">
        <f t="shared" si="807"/>
        <v>0.14999999999999147</v>
      </c>
      <c r="L223" s="2">
        <v>51.62</v>
      </c>
      <c r="M223" s="18">
        <f t="shared" ref="M223" si="858">L223-L222</f>
        <v>5.9999999999995168E-2</v>
      </c>
      <c r="N223" s="18">
        <f t="shared" ref="N223" si="859">G223-M223</f>
        <v>7.1054273576010019E-15</v>
      </c>
      <c r="O223" s="114">
        <v>69136</v>
      </c>
      <c r="P223" s="17">
        <f t="shared" ref="P223" si="860">O223-O222</f>
        <v>9</v>
      </c>
      <c r="Q223" s="18">
        <f t="shared" ref="Q223" si="861">P223*$C$2</f>
        <v>2.6073</v>
      </c>
      <c r="R223" s="114">
        <v>1577</v>
      </c>
      <c r="S223" s="17">
        <f t="shared" ref="S223" si="862">R223-R222</f>
        <v>2</v>
      </c>
      <c r="T223" s="17"/>
      <c r="U223" s="2">
        <v>33816</v>
      </c>
      <c r="V223" s="17">
        <f t="shared" ref="V223" si="863">U223-U222</f>
        <v>4</v>
      </c>
      <c r="W223" s="18">
        <f t="shared" ref="W223" si="864">V223*$C$3</f>
        <v>1.2</v>
      </c>
      <c r="X223" s="2">
        <v>12120</v>
      </c>
      <c r="Y223" s="108">
        <f t="shared" ref="Y223" si="865">X223-X222</f>
        <v>1</v>
      </c>
      <c r="Z223" s="18">
        <f t="shared" ref="Z223" si="866">Y223*$C$5*$G$4</f>
        <v>0.97840768094534702</v>
      </c>
      <c r="AA223" s="2">
        <v>901.49</v>
      </c>
      <c r="AB223" s="18">
        <f t="shared" ref="AB223" si="867">AA223-AA222</f>
        <v>0.51999999999998181</v>
      </c>
      <c r="AC223" s="18"/>
      <c r="AD223" s="24">
        <f t="shared" ref="AD223:AD228" si="868">C223+E223+G223+I223+K223+M223+AF223</f>
        <v>0.31999999999998963</v>
      </c>
      <c r="AE223" s="25">
        <v>140.69999999999999</v>
      </c>
      <c r="AF223" s="24">
        <f t="shared" si="815"/>
        <v>0</v>
      </c>
      <c r="AG223" s="2"/>
      <c r="AH223" s="29"/>
    </row>
    <row r="224" spans="1:34" x14ac:dyDescent="0.25">
      <c r="A224" s="5">
        <v>44815</v>
      </c>
      <c r="B224" s="2">
        <v>22.83</v>
      </c>
      <c r="C224" s="18">
        <f t="shared" si="803"/>
        <v>3.9999999999999147E-2</v>
      </c>
      <c r="D224" s="67">
        <v>7.81</v>
      </c>
      <c r="E224" s="18">
        <f t="shared" si="804"/>
        <v>0</v>
      </c>
      <c r="F224" s="2">
        <v>75.19</v>
      </c>
      <c r="G224" s="107">
        <f t="shared" si="805"/>
        <v>9.9999999999994316E-2</v>
      </c>
      <c r="H224" s="2">
        <v>2.66</v>
      </c>
      <c r="I224" s="18">
        <f t="shared" si="806"/>
        <v>0</v>
      </c>
      <c r="J224" s="2">
        <v>78.989999999999995</v>
      </c>
      <c r="K224" s="18">
        <f t="shared" si="807"/>
        <v>0.15999999999999659</v>
      </c>
      <c r="L224" s="2">
        <v>51.72</v>
      </c>
      <c r="M224" s="18">
        <f t="shared" ref="M224" si="869">L224-L223</f>
        <v>0.10000000000000142</v>
      </c>
      <c r="N224" s="18">
        <f t="shared" ref="N224" si="870">G224-M224</f>
        <v>-7.1054273576010019E-15</v>
      </c>
      <c r="O224" s="114">
        <v>69145</v>
      </c>
      <c r="P224" s="17">
        <f t="shared" ref="P224" si="871">O224-O223</f>
        <v>9</v>
      </c>
      <c r="Q224" s="18">
        <f t="shared" ref="Q224" si="872">P224*$C$2</f>
        <v>2.6073</v>
      </c>
      <c r="R224" s="114">
        <v>1579</v>
      </c>
      <c r="S224" s="17">
        <f t="shared" ref="S224" si="873">R224-R223</f>
        <v>2</v>
      </c>
      <c r="T224" s="17"/>
      <c r="U224" s="2">
        <v>33820</v>
      </c>
      <c r="V224" s="17">
        <f t="shared" ref="V224" si="874">U224-U223</f>
        <v>4</v>
      </c>
      <c r="W224" s="18">
        <f t="shared" ref="W224" si="875">V224*$C$3</f>
        <v>1.2</v>
      </c>
      <c r="X224" s="2">
        <v>12121</v>
      </c>
      <c r="Y224" s="108">
        <f t="shared" ref="Y224" si="876">X224-X223</f>
        <v>1</v>
      </c>
      <c r="Z224" s="18">
        <f t="shared" ref="Z224" si="877">Y224*$C$5*$G$4</f>
        <v>0.97840768094534702</v>
      </c>
      <c r="AA224" s="2">
        <v>902.06</v>
      </c>
      <c r="AB224" s="18">
        <f t="shared" ref="AB224" si="878">AA224-AA223</f>
        <v>0.56999999999993634</v>
      </c>
      <c r="AC224" s="18"/>
      <c r="AD224" s="24">
        <f t="shared" si="868"/>
        <v>0.39999999999999147</v>
      </c>
      <c r="AE224" s="25">
        <v>140.69999999999999</v>
      </c>
      <c r="AF224" s="24">
        <f t="shared" si="815"/>
        <v>0</v>
      </c>
      <c r="AG224" s="2"/>
      <c r="AH224" s="29"/>
    </row>
    <row r="225" spans="1:34" x14ac:dyDescent="0.25">
      <c r="A225" s="5">
        <v>44816</v>
      </c>
      <c r="B225" s="2">
        <v>22.89</v>
      </c>
      <c r="C225" s="18">
        <f t="shared" si="803"/>
        <v>6.0000000000002274E-2</v>
      </c>
      <c r="D225" s="67">
        <v>7.82</v>
      </c>
      <c r="E225" s="18">
        <f t="shared" si="804"/>
        <v>1.0000000000000675E-2</v>
      </c>
      <c r="F225" s="2">
        <v>75.38</v>
      </c>
      <c r="G225" s="107">
        <f t="shared" si="805"/>
        <v>0.18999999999999773</v>
      </c>
      <c r="H225" s="2">
        <v>2.66</v>
      </c>
      <c r="I225" s="18">
        <f t="shared" si="806"/>
        <v>0</v>
      </c>
      <c r="J225" s="2">
        <v>79.13</v>
      </c>
      <c r="K225" s="18">
        <f t="shared" si="807"/>
        <v>0.14000000000000057</v>
      </c>
      <c r="L225" s="2">
        <v>51.81</v>
      </c>
      <c r="M225" s="18">
        <f t="shared" ref="M225" si="879">L225-L224</f>
        <v>9.0000000000003411E-2</v>
      </c>
      <c r="N225" s="18">
        <f t="shared" ref="N225" si="880">G225-M225</f>
        <v>9.9999999999994316E-2</v>
      </c>
      <c r="O225" s="114">
        <v>69156</v>
      </c>
      <c r="P225" s="17">
        <f t="shared" ref="P225" si="881">O225-O224</f>
        <v>11</v>
      </c>
      <c r="Q225" s="18">
        <f t="shared" ref="Q225" si="882">P225*$C$2</f>
        <v>3.1867000000000001</v>
      </c>
      <c r="R225" s="114">
        <v>1581</v>
      </c>
      <c r="S225" s="17">
        <f t="shared" ref="S225" si="883">R225-R224</f>
        <v>2</v>
      </c>
      <c r="T225" s="17"/>
      <c r="U225" s="2">
        <v>33824</v>
      </c>
      <c r="V225" s="17">
        <f t="shared" ref="V225" si="884">U225-U224</f>
        <v>4</v>
      </c>
      <c r="W225" s="18">
        <f t="shared" ref="W225" si="885">V225*$C$3</f>
        <v>1.2</v>
      </c>
      <c r="X225" s="2">
        <v>12122</v>
      </c>
      <c r="Y225" s="108">
        <f t="shared" ref="Y225" si="886">X225-X224</f>
        <v>1</v>
      </c>
      <c r="Z225" s="18">
        <f t="shared" ref="Z225" si="887">Y225*$C$5*$G$4</f>
        <v>0.97840768094534702</v>
      </c>
      <c r="AA225" s="2">
        <v>902.79</v>
      </c>
      <c r="AB225" s="18">
        <f t="shared" ref="AB225:AB226" si="888">AA225-AA224</f>
        <v>0.73000000000001819</v>
      </c>
      <c r="AC225" s="18"/>
      <c r="AD225" s="24">
        <f t="shared" si="868"/>
        <v>0.49000000000000465</v>
      </c>
      <c r="AE225" s="25">
        <v>140.69999999999999</v>
      </c>
      <c r="AF225" s="24">
        <f t="shared" si="815"/>
        <v>0</v>
      </c>
      <c r="AG225" s="2"/>
      <c r="AH225" s="29"/>
    </row>
    <row r="226" spans="1:34" x14ac:dyDescent="0.25">
      <c r="A226" s="5">
        <v>44817</v>
      </c>
      <c r="B226" s="2">
        <v>22.9</v>
      </c>
      <c r="C226" s="18">
        <f t="shared" si="803"/>
        <v>9.9999999999980105E-3</v>
      </c>
      <c r="D226" s="67">
        <v>7.83</v>
      </c>
      <c r="E226" s="18">
        <f t="shared" si="804"/>
        <v>9.9999999999997868E-3</v>
      </c>
      <c r="F226" s="2">
        <v>75.569999999999993</v>
      </c>
      <c r="G226" s="107">
        <f t="shared" si="805"/>
        <v>0.18999999999999773</v>
      </c>
      <c r="H226" s="2">
        <v>2.66</v>
      </c>
      <c r="I226" s="18">
        <f t="shared" si="806"/>
        <v>0</v>
      </c>
      <c r="J226" s="2">
        <v>79.23</v>
      </c>
      <c r="K226" s="18">
        <f t="shared" si="807"/>
        <v>0.10000000000000853</v>
      </c>
      <c r="L226" s="2">
        <v>51.88</v>
      </c>
      <c r="M226" s="18">
        <f t="shared" ref="M226" si="889">L226-L225</f>
        <v>7.0000000000000284E-2</v>
      </c>
      <c r="N226" s="18">
        <f t="shared" ref="N226" si="890">G226-M226</f>
        <v>0.11999999999999744</v>
      </c>
      <c r="O226" s="114">
        <v>69164</v>
      </c>
      <c r="P226" s="17">
        <f t="shared" ref="P226" si="891">O226-O225</f>
        <v>8</v>
      </c>
      <c r="Q226" s="18">
        <f t="shared" ref="Q226" si="892">P226*$C$2</f>
        <v>2.3176000000000001</v>
      </c>
      <c r="R226" s="114">
        <v>1584</v>
      </c>
      <c r="S226" s="17">
        <f t="shared" ref="S226" si="893">R226-R225</f>
        <v>3</v>
      </c>
      <c r="T226" s="17"/>
      <c r="U226" s="2">
        <v>33826</v>
      </c>
      <c r="V226" s="17">
        <f t="shared" ref="V226" si="894">U226-U225</f>
        <v>2</v>
      </c>
      <c r="W226" s="18">
        <f t="shared" ref="W226" si="895">V226*$C$3</f>
        <v>0.6</v>
      </c>
      <c r="X226" s="2">
        <v>12123</v>
      </c>
      <c r="Y226" s="108">
        <f t="shared" ref="Y226" si="896">X226-X225</f>
        <v>1</v>
      </c>
      <c r="Z226" s="18">
        <f t="shared" ref="Z226" si="897">Y226*$C$5*$G$4</f>
        <v>0.97840768094534702</v>
      </c>
      <c r="AA226" s="25">
        <v>903.41</v>
      </c>
      <c r="AB226" s="18">
        <f t="shared" si="888"/>
        <v>0.62000000000000455</v>
      </c>
      <c r="AC226" s="18"/>
      <c r="AD226" s="24">
        <f t="shared" si="868"/>
        <v>0.38000000000000433</v>
      </c>
      <c r="AE226" s="25">
        <v>140.69999999999999</v>
      </c>
      <c r="AF226" s="24">
        <f t="shared" si="815"/>
        <v>0</v>
      </c>
      <c r="AG226" s="2"/>
      <c r="AH226" s="29"/>
    </row>
    <row r="227" spans="1:34" x14ac:dyDescent="0.25">
      <c r="A227" s="5">
        <v>44818</v>
      </c>
      <c r="B227" s="2">
        <v>22.92</v>
      </c>
      <c r="C227" s="18">
        <f t="shared" si="803"/>
        <v>2.0000000000003126E-2</v>
      </c>
      <c r="D227" s="67">
        <v>7.84</v>
      </c>
      <c r="E227" s="18">
        <f t="shared" si="804"/>
        <v>9.9999999999997868E-3</v>
      </c>
      <c r="F227" s="2">
        <v>75.739999999999995</v>
      </c>
      <c r="G227" s="107">
        <f t="shared" si="805"/>
        <v>0.17000000000000171</v>
      </c>
      <c r="H227" s="2">
        <v>2.66</v>
      </c>
      <c r="I227" s="18">
        <f t="shared" si="806"/>
        <v>0</v>
      </c>
      <c r="J227" s="2">
        <v>79.400000000000006</v>
      </c>
      <c r="K227" s="18">
        <f t="shared" si="807"/>
        <v>0.17000000000000171</v>
      </c>
      <c r="L227" s="2">
        <v>52.04</v>
      </c>
      <c r="M227" s="18">
        <f t="shared" ref="M227" si="898">L227-L226</f>
        <v>0.15999999999999659</v>
      </c>
      <c r="N227" s="18">
        <f t="shared" ref="N227" si="899">G227-M227</f>
        <v>1.0000000000005116E-2</v>
      </c>
      <c r="O227" s="114">
        <v>69171</v>
      </c>
      <c r="P227" s="17">
        <f t="shared" ref="P227" si="900">O227-O226</f>
        <v>7</v>
      </c>
      <c r="Q227" s="18">
        <f t="shared" ref="Q227" si="901">P227*$C$2</f>
        <v>2.0279000000000003</v>
      </c>
      <c r="R227" s="114">
        <v>1587</v>
      </c>
      <c r="S227" s="17">
        <f t="shared" ref="S227" si="902">R227-R226</f>
        <v>3</v>
      </c>
      <c r="T227" s="17"/>
      <c r="U227" s="2">
        <v>33829</v>
      </c>
      <c r="V227" s="17">
        <f t="shared" ref="V227" si="903">U227-U226</f>
        <v>3</v>
      </c>
      <c r="W227" s="18">
        <f t="shared" ref="W227" si="904">V227*$C$3</f>
        <v>0.89999999999999991</v>
      </c>
      <c r="X227" s="2">
        <v>12124</v>
      </c>
      <c r="Y227" s="108">
        <f t="shared" ref="Y227" si="905">X227-X226</f>
        <v>1</v>
      </c>
      <c r="Z227" s="18">
        <f t="shared" ref="Z227" si="906">Y227*$C$5*$G$4</f>
        <v>0.97840768094534702</v>
      </c>
      <c r="AA227" s="2">
        <v>903.88</v>
      </c>
      <c r="AB227" s="18">
        <f t="shared" ref="AB227" si="907">AA227-AA226</f>
        <v>0.47000000000002728</v>
      </c>
      <c r="AC227" s="18"/>
      <c r="AD227" s="24">
        <f t="shared" si="868"/>
        <v>0.53000000000000291</v>
      </c>
      <c r="AE227" s="25">
        <v>140.69999999999999</v>
      </c>
      <c r="AF227" s="24">
        <f t="shared" si="815"/>
        <v>0</v>
      </c>
      <c r="AG227" s="2"/>
      <c r="AH227" s="29"/>
    </row>
    <row r="228" spans="1:34" x14ac:dyDescent="0.25">
      <c r="A228" s="5">
        <v>44819</v>
      </c>
      <c r="B228" s="2">
        <v>22.94</v>
      </c>
      <c r="C228" s="18">
        <f t="shared" si="803"/>
        <v>1.9999999999999574E-2</v>
      </c>
      <c r="D228" s="67">
        <v>7.84</v>
      </c>
      <c r="E228" s="18">
        <f t="shared" si="804"/>
        <v>0</v>
      </c>
      <c r="F228" s="2">
        <v>75.86</v>
      </c>
      <c r="G228" s="107">
        <f t="shared" si="805"/>
        <v>0.12000000000000455</v>
      </c>
      <c r="H228" s="2">
        <v>2.67</v>
      </c>
      <c r="I228" s="18">
        <f t="shared" si="806"/>
        <v>9.9999999999997868E-3</v>
      </c>
      <c r="J228" s="2">
        <v>79.52</v>
      </c>
      <c r="K228" s="18">
        <f t="shared" si="807"/>
        <v>0.11999999999999034</v>
      </c>
      <c r="L228" s="2">
        <v>52.09</v>
      </c>
      <c r="M228" s="18">
        <f t="shared" ref="M228" si="908">L228-L227</f>
        <v>5.0000000000004263E-2</v>
      </c>
      <c r="N228" s="18">
        <f t="shared" ref="N228" si="909">G228-M228</f>
        <v>7.0000000000000284E-2</v>
      </c>
      <c r="O228" s="114">
        <v>69181</v>
      </c>
      <c r="P228" s="17">
        <f t="shared" ref="P228" si="910">O228-O227</f>
        <v>10</v>
      </c>
      <c r="Q228" s="18">
        <f t="shared" ref="Q228" si="911">P228*$C$2</f>
        <v>2.8970000000000002</v>
      </c>
      <c r="R228" s="114">
        <v>1590</v>
      </c>
      <c r="S228" s="17">
        <f t="shared" ref="S228" si="912">R228-R227</f>
        <v>3</v>
      </c>
      <c r="T228" s="17"/>
      <c r="U228" s="2">
        <v>33831</v>
      </c>
      <c r="V228" s="17">
        <f t="shared" ref="V228" si="913">U228-U227</f>
        <v>2</v>
      </c>
      <c r="W228" s="18">
        <f t="shared" ref="W228" si="914">V228*$C$3</f>
        <v>0.6</v>
      </c>
      <c r="X228" s="2">
        <v>12126</v>
      </c>
      <c r="Y228" s="108">
        <f t="shared" ref="Y228" si="915">X228-X227</f>
        <v>2</v>
      </c>
      <c r="Z228" s="18">
        <f t="shared" ref="Z228" si="916">Y228*$C$5*$G$4</f>
        <v>1.956815361890694</v>
      </c>
      <c r="AA228" s="2">
        <v>904.3</v>
      </c>
      <c r="AB228" s="18">
        <f t="shared" ref="AB228" si="917">AA228-AA227</f>
        <v>0.41999999999995907</v>
      </c>
      <c r="AC228" s="18"/>
      <c r="AD228" s="24">
        <f t="shared" si="868"/>
        <v>0.31999999999999851</v>
      </c>
      <c r="AE228" s="25">
        <v>140.69999999999999</v>
      </c>
      <c r="AF228" s="24">
        <f t="shared" si="815"/>
        <v>0</v>
      </c>
      <c r="AG228" s="2"/>
      <c r="AH228" s="29"/>
    </row>
    <row r="229" spans="1:34" x14ac:dyDescent="0.25">
      <c r="A229" s="5">
        <v>44820</v>
      </c>
      <c r="B229" s="2">
        <v>22.94</v>
      </c>
      <c r="C229" s="18">
        <f t="shared" si="803"/>
        <v>0</v>
      </c>
      <c r="D229" s="67">
        <v>7.87</v>
      </c>
      <c r="E229" s="18">
        <f t="shared" si="804"/>
        <v>3.0000000000000249E-2</v>
      </c>
      <c r="F229" s="2">
        <v>76.069999999999993</v>
      </c>
      <c r="G229" s="107">
        <f t="shared" si="805"/>
        <v>0.20999999999999375</v>
      </c>
      <c r="H229" s="2">
        <v>2.67</v>
      </c>
      <c r="I229" s="18">
        <f t="shared" si="806"/>
        <v>0</v>
      </c>
      <c r="J229" s="2">
        <v>79.739999999999995</v>
      </c>
      <c r="K229" s="18">
        <f t="shared" si="807"/>
        <v>0.21999999999999886</v>
      </c>
      <c r="L229" s="2">
        <v>52.21</v>
      </c>
      <c r="M229" s="18">
        <f t="shared" ref="M229" si="918">L229-L228</f>
        <v>0.11999999999999744</v>
      </c>
      <c r="N229" s="18">
        <f t="shared" ref="N229" si="919">G229-M229</f>
        <v>8.9999999999996305E-2</v>
      </c>
      <c r="O229" s="114">
        <v>69191</v>
      </c>
      <c r="P229" s="17">
        <f t="shared" ref="P229" si="920">O229-O228</f>
        <v>10</v>
      </c>
      <c r="Q229" s="18">
        <f t="shared" ref="Q229" si="921">P229*$C$2</f>
        <v>2.8970000000000002</v>
      </c>
      <c r="R229" s="114">
        <v>1594</v>
      </c>
      <c r="S229" s="17">
        <f t="shared" ref="S229" si="922">R229-R228</f>
        <v>4</v>
      </c>
      <c r="T229" s="17"/>
      <c r="U229" s="2">
        <v>33832</v>
      </c>
      <c r="V229" s="17">
        <f t="shared" ref="V229" si="923">U229-U228</f>
        <v>1</v>
      </c>
      <c r="W229" s="18">
        <f t="shared" ref="W229" si="924">V229*$C$3</f>
        <v>0.3</v>
      </c>
      <c r="X229" s="2">
        <v>12127</v>
      </c>
      <c r="Y229" s="108">
        <f t="shared" ref="Y229" si="925">X229-X228</f>
        <v>1</v>
      </c>
      <c r="Z229" s="18">
        <f t="shared" ref="Z229" si="926">Y229*$C$5*$G$4</f>
        <v>0.97840768094534702</v>
      </c>
      <c r="AA229" s="2">
        <v>905.02</v>
      </c>
      <c r="AB229" s="18">
        <f t="shared" ref="AB229" si="927">AA229-AA228</f>
        <v>0.72000000000002728</v>
      </c>
      <c r="AC229" s="18"/>
      <c r="AD229" s="24">
        <f t="shared" ref="AD229" si="928">C229+E229+G229+I229+K229+M229+AF229</f>
        <v>0.5799999999999903</v>
      </c>
      <c r="AE229" s="25">
        <v>140.69999999999999</v>
      </c>
      <c r="AF229" s="24">
        <f t="shared" si="815"/>
        <v>0</v>
      </c>
      <c r="AG229" s="2"/>
      <c r="AH229" s="29"/>
    </row>
    <row r="230" spans="1:34" x14ac:dyDescent="0.25">
      <c r="A230" s="5">
        <v>44821</v>
      </c>
      <c r="B230" s="2">
        <v>22.97</v>
      </c>
      <c r="C230" s="18">
        <f t="shared" si="803"/>
        <v>2.9999999999997584E-2</v>
      </c>
      <c r="D230" s="67">
        <v>7.91</v>
      </c>
      <c r="E230" s="18">
        <f t="shared" si="804"/>
        <v>4.0000000000000036E-2</v>
      </c>
      <c r="F230" s="2">
        <v>76.28</v>
      </c>
      <c r="G230" s="107">
        <f t="shared" si="805"/>
        <v>0.21000000000000796</v>
      </c>
      <c r="H230" s="2">
        <v>2.68</v>
      </c>
      <c r="I230" s="18">
        <f t="shared" si="806"/>
        <v>1.0000000000000231E-2</v>
      </c>
      <c r="J230" s="2">
        <v>79.92</v>
      </c>
      <c r="K230" s="18">
        <f t="shared" si="807"/>
        <v>0.18000000000000682</v>
      </c>
      <c r="L230" s="2">
        <v>52.31</v>
      </c>
      <c r="M230" s="18">
        <f t="shared" ref="M230" si="929">L230-L229</f>
        <v>0.10000000000000142</v>
      </c>
      <c r="N230" s="18">
        <f t="shared" ref="N230" si="930">G230-M230</f>
        <v>0.11000000000000654</v>
      </c>
      <c r="O230" s="114">
        <v>69202</v>
      </c>
      <c r="P230" s="17">
        <f t="shared" ref="P230" si="931">O230-O229</f>
        <v>11</v>
      </c>
      <c r="Q230" s="18">
        <f t="shared" ref="Q230" si="932">P230*$C$2</f>
        <v>3.1867000000000001</v>
      </c>
      <c r="R230" s="114">
        <v>1600</v>
      </c>
      <c r="S230" s="17">
        <f t="shared" ref="S230" si="933">R230-R229</f>
        <v>6</v>
      </c>
      <c r="T230" s="17"/>
      <c r="U230" s="2">
        <v>33834</v>
      </c>
      <c r="V230" s="17">
        <f t="shared" ref="V230" si="934">U230-U229</f>
        <v>2</v>
      </c>
      <c r="W230" s="18">
        <f t="shared" ref="W230" si="935">V230*$C$3</f>
        <v>0.6</v>
      </c>
      <c r="X230" s="2">
        <v>12129</v>
      </c>
      <c r="Y230" s="108">
        <f t="shared" ref="Y230" si="936">X230-X229</f>
        <v>2</v>
      </c>
      <c r="Z230" s="18">
        <f t="shared" ref="Z230" si="937">Y230*$C$5*$G$4</f>
        <v>1.956815361890694</v>
      </c>
      <c r="AA230" s="2">
        <v>905.64</v>
      </c>
      <c r="AB230" s="18">
        <f t="shared" ref="AB230" si="938">AA230-AA229</f>
        <v>0.62000000000000455</v>
      </c>
      <c r="AC230" s="18"/>
      <c r="AD230" s="24">
        <f t="shared" ref="AD230" si="939">C230+E230+G230+I230+K230+M230+AF230</f>
        <v>0.57000000000001405</v>
      </c>
      <c r="AE230" s="25">
        <v>140.69999999999999</v>
      </c>
      <c r="AF230" s="24">
        <f t="shared" si="815"/>
        <v>0</v>
      </c>
      <c r="AG230" s="2"/>
      <c r="AH230" s="29"/>
    </row>
    <row r="231" spans="1:34" x14ac:dyDescent="0.25">
      <c r="A231" s="5">
        <v>44822</v>
      </c>
      <c r="B231" s="2">
        <v>22.97</v>
      </c>
      <c r="C231" s="18">
        <f t="shared" si="803"/>
        <v>0</v>
      </c>
      <c r="D231" s="67">
        <v>7.92</v>
      </c>
      <c r="E231" s="18">
        <f t="shared" si="804"/>
        <v>9.9999999999997868E-3</v>
      </c>
      <c r="F231" s="2">
        <v>76.38</v>
      </c>
      <c r="G231" s="107">
        <f t="shared" si="805"/>
        <v>9.9999999999994316E-2</v>
      </c>
      <c r="H231" s="2">
        <v>2.68</v>
      </c>
      <c r="I231" s="18">
        <f t="shared" si="806"/>
        <v>0</v>
      </c>
      <c r="J231" s="2">
        <v>80.13</v>
      </c>
      <c r="K231" s="18">
        <f t="shared" si="807"/>
        <v>0.20999999999999375</v>
      </c>
      <c r="L231" s="2">
        <v>52.4</v>
      </c>
      <c r="M231" s="18">
        <f t="shared" ref="M231" si="940">L231-L230</f>
        <v>8.9999999999996305E-2</v>
      </c>
      <c r="N231" s="18">
        <f t="shared" ref="N231" si="941">G231-M231</f>
        <v>9.9999999999980105E-3</v>
      </c>
      <c r="O231" s="114">
        <v>69213</v>
      </c>
      <c r="P231" s="17">
        <f t="shared" ref="P231" si="942">O231-O230</f>
        <v>11</v>
      </c>
      <c r="Q231" s="18">
        <f t="shared" ref="Q231" si="943">P231*$C$2</f>
        <v>3.1867000000000001</v>
      </c>
      <c r="R231" s="114">
        <v>1605</v>
      </c>
      <c r="S231" s="17">
        <f t="shared" ref="S231" si="944">R231-R230</f>
        <v>5</v>
      </c>
      <c r="T231" s="17"/>
      <c r="U231" s="2">
        <v>33836</v>
      </c>
      <c r="V231" s="17">
        <f t="shared" ref="V231" si="945">U231-U230</f>
        <v>2</v>
      </c>
      <c r="W231" s="18">
        <f t="shared" ref="W231" si="946">V231*$C$3</f>
        <v>0.6</v>
      </c>
      <c r="X231" s="2">
        <v>12129</v>
      </c>
      <c r="Y231" s="108">
        <f t="shared" ref="Y231" si="947">X231-X230</f>
        <v>0</v>
      </c>
      <c r="Z231" s="18">
        <f t="shared" ref="Z231" si="948">Y231*$C$5*$G$4</f>
        <v>0</v>
      </c>
      <c r="AA231" s="2">
        <v>906.15</v>
      </c>
      <c r="AB231" s="18">
        <f t="shared" ref="AB231" si="949">AA231-AA230</f>
        <v>0.50999999999999091</v>
      </c>
      <c r="AC231" s="18"/>
      <c r="AD231" s="24">
        <f t="shared" ref="AD231" si="950">C231+E231+G231+I231+K231+M231+AF231</f>
        <v>0.40999999999998415</v>
      </c>
      <c r="AE231" s="25">
        <v>140.69999999999999</v>
      </c>
      <c r="AF231" s="24">
        <f t="shared" ref="AF231:AF243" si="951">AE231-AE230</f>
        <v>0</v>
      </c>
      <c r="AG231" s="2"/>
      <c r="AH231" s="29"/>
    </row>
    <row r="232" spans="1:34" x14ac:dyDescent="0.25">
      <c r="A232" s="5">
        <v>44823</v>
      </c>
      <c r="B232" s="2">
        <v>22.97</v>
      </c>
      <c r="C232" s="18">
        <f t="shared" si="803"/>
        <v>0</v>
      </c>
      <c r="D232" s="67">
        <v>7.93</v>
      </c>
      <c r="E232" s="18">
        <f t="shared" si="804"/>
        <v>9.9999999999997868E-3</v>
      </c>
      <c r="F232" s="2">
        <v>76.72</v>
      </c>
      <c r="G232" s="107">
        <f t="shared" si="805"/>
        <v>0.34000000000000341</v>
      </c>
      <c r="H232" s="2">
        <v>2.68</v>
      </c>
      <c r="I232" s="18">
        <f t="shared" si="806"/>
        <v>0</v>
      </c>
      <c r="J232" s="2">
        <v>80.349999999999994</v>
      </c>
      <c r="K232" s="18">
        <f t="shared" si="807"/>
        <v>0.21999999999999886</v>
      </c>
      <c r="L232" s="2">
        <v>52.55</v>
      </c>
      <c r="M232" s="18">
        <f t="shared" ref="M232" si="952">L232-L231</f>
        <v>0.14999999999999858</v>
      </c>
      <c r="N232" s="18">
        <f t="shared" ref="N232" si="953">G232-M232</f>
        <v>0.19000000000000483</v>
      </c>
      <c r="O232" s="114">
        <v>69225</v>
      </c>
      <c r="P232" s="17">
        <f t="shared" ref="P232" si="954">O232-O231</f>
        <v>12</v>
      </c>
      <c r="Q232" s="18">
        <f t="shared" ref="Q232" si="955">P232*$C$2</f>
        <v>3.4763999999999999</v>
      </c>
      <c r="R232" s="114">
        <v>1608</v>
      </c>
      <c r="S232" s="17">
        <f t="shared" ref="S232" si="956">R232-R231</f>
        <v>3</v>
      </c>
      <c r="T232" s="17"/>
      <c r="U232" s="2">
        <v>33840</v>
      </c>
      <c r="V232" s="17">
        <f t="shared" ref="V232" si="957">U232-U231</f>
        <v>4</v>
      </c>
      <c r="W232" s="18">
        <f t="shared" ref="W232" si="958">V232*$C$3</f>
        <v>1.2</v>
      </c>
      <c r="X232" s="2">
        <v>12133</v>
      </c>
      <c r="Y232" s="108">
        <f t="shared" ref="Y232" si="959">X232-X231</f>
        <v>4</v>
      </c>
      <c r="Z232" s="18">
        <f t="shared" ref="Z232" si="960">Y232*$C$5*$G$4</f>
        <v>3.9136307237813881</v>
      </c>
      <c r="AA232" s="2">
        <v>907.13</v>
      </c>
      <c r="AB232" s="18">
        <f t="shared" ref="AB232" si="961">AA232-AA231</f>
        <v>0.98000000000001819</v>
      </c>
      <c r="AC232" s="18"/>
      <c r="AD232" s="24">
        <f t="shared" ref="AD232" si="962">C232+E232+G232+I232+K232+M232+AF232</f>
        <v>0.72000000000000064</v>
      </c>
      <c r="AE232" s="25">
        <v>140.69999999999999</v>
      </c>
      <c r="AF232" s="24">
        <f t="shared" si="951"/>
        <v>0</v>
      </c>
      <c r="AG232" s="2"/>
      <c r="AH232" s="29"/>
    </row>
    <row r="233" spans="1:34" x14ac:dyDescent="0.25">
      <c r="A233" s="5">
        <v>44824</v>
      </c>
      <c r="B233" s="2">
        <v>22.98</v>
      </c>
      <c r="C233" s="18">
        <f t="shared" si="803"/>
        <v>1.0000000000001563E-2</v>
      </c>
      <c r="D233" s="67">
        <v>7.95</v>
      </c>
      <c r="E233" s="18">
        <f t="shared" si="804"/>
        <v>2.0000000000000462E-2</v>
      </c>
      <c r="F233" s="2">
        <v>76.8</v>
      </c>
      <c r="G233" s="107">
        <f t="shared" si="805"/>
        <v>7.9999999999998295E-2</v>
      </c>
      <c r="H233" s="2">
        <v>2.69</v>
      </c>
      <c r="I233" s="18">
        <f t="shared" si="806"/>
        <v>9.9999999999997868E-3</v>
      </c>
      <c r="J233" s="2">
        <v>80.45</v>
      </c>
      <c r="K233" s="18">
        <f t="shared" si="807"/>
        <v>0.10000000000000853</v>
      </c>
      <c r="L233" s="2">
        <v>52.62</v>
      </c>
      <c r="M233" s="18">
        <f t="shared" ref="M233" si="963">L233-L232</f>
        <v>7.0000000000000284E-2</v>
      </c>
      <c r="N233" s="18">
        <f t="shared" ref="N233" si="964">G233-M233</f>
        <v>9.9999999999980105E-3</v>
      </c>
      <c r="O233" s="114">
        <v>69233</v>
      </c>
      <c r="P233" s="17">
        <f t="shared" ref="P233" si="965">O233-O232</f>
        <v>8</v>
      </c>
      <c r="Q233" s="18">
        <f t="shared" ref="Q233" si="966">P233*$C$2</f>
        <v>2.3176000000000001</v>
      </c>
      <c r="R233" s="114">
        <v>1613</v>
      </c>
      <c r="S233" s="17">
        <f t="shared" ref="S233" si="967">R233-R232</f>
        <v>5</v>
      </c>
      <c r="T233" s="17"/>
      <c r="U233" s="2">
        <v>33841</v>
      </c>
      <c r="V233" s="17">
        <f t="shared" ref="V233" si="968">U233-U232</f>
        <v>1</v>
      </c>
      <c r="W233" s="18">
        <f t="shared" ref="W233" si="969">V233*$C$3</f>
        <v>0.3</v>
      </c>
      <c r="X233" s="2">
        <v>12136</v>
      </c>
      <c r="Y233" s="108">
        <f t="shared" ref="Y233" si="970">X233-X232</f>
        <v>3</v>
      </c>
      <c r="Z233" s="18">
        <f t="shared" ref="Z233" si="971">Y233*$C$5*$G$4</f>
        <v>2.9352230428360411</v>
      </c>
      <c r="AA233" s="2">
        <v>907.5</v>
      </c>
      <c r="AB233" s="18">
        <f t="shared" ref="AB233" si="972">AA233-AA232</f>
        <v>0.37000000000000455</v>
      </c>
      <c r="AC233" s="18"/>
      <c r="AD233" s="24">
        <f t="shared" ref="AD233" si="973">C233+E233+G233+I233+K233+M233+AF233</f>
        <v>0.29000000000000892</v>
      </c>
      <c r="AE233" s="25">
        <v>140.69999999999999</v>
      </c>
      <c r="AF233" s="24">
        <f t="shared" si="951"/>
        <v>0</v>
      </c>
      <c r="AG233" s="2"/>
      <c r="AH233" s="29"/>
    </row>
    <row r="234" spans="1:34" x14ac:dyDescent="0.25">
      <c r="A234" s="5">
        <v>44825</v>
      </c>
      <c r="B234" s="2">
        <v>22.99</v>
      </c>
      <c r="C234" s="18">
        <f t="shared" si="803"/>
        <v>9.9999999999980105E-3</v>
      </c>
      <c r="D234" s="67">
        <v>7.97</v>
      </c>
      <c r="E234" s="18">
        <f t="shared" si="804"/>
        <v>1.9999999999999574E-2</v>
      </c>
      <c r="F234" s="2">
        <v>77.069999999999993</v>
      </c>
      <c r="G234" s="107">
        <f t="shared" si="805"/>
        <v>0.26999999999999602</v>
      </c>
      <c r="H234" s="2">
        <v>2.69</v>
      </c>
      <c r="I234" s="18">
        <f t="shared" si="806"/>
        <v>0</v>
      </c>
      <c r="J234" s="2">
        <v>80.680000000000007</v>
      </c>
      <c r="K234" s="18">
        <f t="shared" si="807"/>
        <v>0.23000000000000398</v>
      </c>
      <c r="L234" s="2">
        <v>52.69</v>
      </c>
      <c r="M234" s="18">
        <f t="shared" ref="M234" si="974">L234-L233</f>
        <v>7.0000000000000284E-2</v>
      </c>
      <c r="N234" s="18">
        <f t="shared" ref="N234" si="975">G234-M234</f>
        <v>0.19999999999999574</v>
      </c>
      <c r="O234" s="114">
        <v>69243</v>
      </c>
      <c r="P234" s="17">
        <f t="shared" ref="P234" si="976">O234-O233</f>
        <v>10</v>
      </c>
      <c r="Q234" s="18">
        <f t="shared" ref="Q234" si="977">P234*$C$2</f>
        <v>2.8970000000000002</v>
      </c>
      <c r="R234" s="114">
        <v>1615</v>
      </c>
      <c r="S234" s="17">
        <f t="shared" ref="S234" si="978">R234-R233</f>
        <v>2</v>
      </c>
      <c r="T234" s="17"/>
      <c r="U234" s="2">
        <v>33844</v>
      </c>
      <c r="V234" s="17">
        <f t="shared" ref="V234" si="979">U234-U233</f>
        <v>3</v>
      </c>
      <c r="W234" s="18">
        <f t="shared" ref="W234" si="980">V234*$C$3</f>
        <v>0.89999999999999991</v>
      </c>
      <c r="X234" s="2">
        <v>12139</v>
      </c>
      <c r="Y234" s="108">
        <f t="shared" ref="Y234" si="981">X234-X233</f>
        <v>3</v>
      </c>
      <c r="Z234" s="18">
        <f t="shared" ref="Z234" si="982">Y234*$C$5*$G$4</f>
        <v>2.9352230428360411</v>
      </c>
      <c r="AA234" s="2">
        <v>908.48</v>
      </c>
      <c r="AB234" s="18">
        <f t="shared" ref="AB234" si="983">AA234-AA233</f>
        <v>0.98000000000001819</v>
      </c>
      <c r="AC234" s="18"/>
      <c r="AD234" s="24">
        <f t="shared" ref="AD234" si="984">C234+E234+G234+I234+K234+M234+AF234</f>
        <v>0.59999999999999787</v>
      </c>
      <c r="AE234" s="25">
        <v>140.69999999999999</v>
      </c>
      <c r="AF234" s="24">
        <f t="shared" si="951"/>
        <v>0</v>
      </c>
      <c r="AG234" s="2"/>
      <c r="AH234" s="29"/>
    </row>
    <row r="235" spans="1:34" x14ac:dyDescent="0.25">
      <c r="A235" s="5">
        <v>44826</v>
      </c>
      <c r="B235" s="2">
        <v>23</v>
      </c>
      <c r="C235" s="18">
        <f t="shared" si="803"/>
        <v>1.0000000000001563E-2</v>
      </c>
      <c r="D235" s="67">
        <v>8.02</v>
      </c>
      <c r="E235" s="18">
        <f t="shared" si="804"/>
        <v>4.9999999999999822E-2</v>
      </c>
      <c r="F235" s="2">
        <v>77.16</v>
      </c>
      <c r="G235" s="107">
        <f t="shared" si="805"/>
        <v>9.0000000000003411E-2</v>
      </c>
      <c r="H235" s="2">
        <v>2.7</v>
      </c>
      <c r="I235" s="18">
        <f t="shared" si="806"/>
        <v>1.0000000000000231E-2</v>
      </c>
      <c r="J235" s="2">
        <v>80.790000000000006</v>
      </c>
      <c r="K235" s="18">
        <f t="shared" si="807"/>
        <v>0.10999999999999943</v>
      </c>
      <c r="L235" s="2">
        <v>52.75</v>
      </c>
      <c r="M235" s="18">
        <f t="shared" ref="M235" si="985">L235-L234</f>
        <v>6.0000000000002274E-2</v>
      </c>
      <c r="N235" s="18">
        <f t="shared" ref="N235" si="986">G235-M235</f>
        <v>3.0000000000001137E-2</v>
      </c>
      <c r="O235" s="114">
        <v>69250</v>
      </c>
      <c r="P235" s="17">
        <f t="shared" ref="P235" si="987">O235-O234</f>
        <v>7</v>
      </c>
      <c r="Q235" s="18">
        <f t="shared" ref="Q235" si="988">P235*$C$2</f>
        <v>2.0279000000000003</v>
      </c>
      <c r="R235" s="114">
        <v>1620</v>
      </c>
      <c r="S235" s="17">
        <f t="shared" ref="S235" si="989">R235-R234</f>
        <v>5</v>
      </c>
      <c r="T235" s="17"/>
      <c r="U235" s="2">
        <v>33847</v>
      </c>
      <c r="V235" s="17">
        <f t="shared" ref="V235" si="990">U235-U234</f>
        <v>3</v>
      </c>
      <c r="W235" s="18">
        <f t="shared" ref="W235" si="991">V235*$C$3</f>
        <v>0.89999999999999991</v>
      </c>
      <c r="X235" s="2">
        <v>12142</v>
      </c>
      <c r="Y235" s="108">
        <f t="shared" ref="Y235" si="992">X235-X234</f>
        <v>3</v>
      </c>
      <c r="Z235" s="18">
        <f t="shared" ref="Z235" si="993">Y235*$C$5*$G$4</f>
        <v>2.9352230428360411</v>
      </c>
      <c r="AA235" s="2">
        <v>908.99</v>
      </c>
      <c r="AB235" s="18">
        <f t="shared" ref="AB235" si="994">AA235-AA234</f>
        <v>0.50999999999999091</v>
      </c>
      <c r="AC235" s="18"/>
      <c r="AD235" s="24">
        <f t="shared" ref="AD235" si="995">C235+E235+G235+I235+K235+M235+AF235</f>
        <v>0.33000000000000673</v>
      </c>
      <c r="AE235" s="25">
        <v>140.69999999999999</v>
      </c>
      <c r="AF235" s="24">
        <f t="shared" si="951"/>
        <v>0</v>
      </c>
      <c r="AG235" s="2"/>
      <c r="AH235" s="29"/>
    </row>
    <row r="236" spans="1:34" x14ac:dyDescent="0.25">
      <c r="A236" s="5">
        <v>44827</v>
      </c>
      <c r="B236" s="2">
        <v>23.06</v>
      </c>
      <c r="C236" s="18">
        <f t="shared" si="803"/>
        <v>5.9999999999998721E-2</v>
      </c>
      <c r="D236" s="67">
        <v>8.02</v>
      </c>
      <c r="E236" s="18">
        <f t="shared" si="804"/>
        <v>0</v>
      </c>
      <c r="F236" s="2">
        <v>77.39</v>
      </c>
      <c r="G236" s="107">
        <f t="shared" si="805"/>
        <v>0.23000000000000398</v>
      </c>
      <c r="H236" s="2">
        <v>2.7</v>
      </c>
      <c r="I236" s="18">
        <f t="shared" si="806"/>
        <v>0</v>
      </c>
      <c r="J236" s="2">
        <v>80.94</v>
      </c>
      <c r="K236" s="18">
        <f t="shared" si="807"/>
        <v>0.14999999999999147</v>
      </c>
      <c r="L236" s="2">
        <v>52.83</v>
      </c>
      <c r="M236" s="18">
        <f t="shared" ref="M236" si="996">L236-L235</f>
        <v>7.9999999999998295E-2</v>
      </c>
      <c r="N236" s="18">
        <f t="shared" ref="N236" si="997">G236-M236</f>
        <v>0.15000000000000568</v>
      </c>
      <c r="O236" s="114">
        <v>69261</v>
      </c>
      <c r="P236" s="17">
        <f t="shared" ref="P236" si="998">O236-O235</f>
        <v>11</v>
      </c>
      <c r="Q236" s="18">
        <f t="shared" ref="Q236" si="999">P236*$C$2</f>
        <v>3.1867000000000001</v>
      </c>
      <c r="R236" s="114">
        <v>1623</v>
      </c>
      <c r="S236" s="17">
        <f t="shared" ref="S236" si="1000">R236-R235</f>
        <v>3</v>
      </c>
      <c r="T236" s="17"/>
      <c r="U236" s="2">
        <v>33850</v>
      </c>
      <c r="V236" s="17">
        <f t="shared" ref="V236" si="1001">U236-U235</f>
        <v>3</v>
      </c>
      <c r="W236" s="18">
        <f t="shared" ref="W236" si="1002">V236*$C$3</f>
        <v>0.89999999999999991</v>
      </c>
      <c r="X236" s="2">
        <v>12146</v>
      </c>
      <c r="Y236" s="108">
        <f t="shared" ref="Y236" si="1003">X236-X235</f>
        <v>4</v>
      </c>
      <c r="Z236" s="18">
        <f t="shared" ref="Z236" si="1004">Y236*$C$5*$G$4</f>
        <v>3.9136307237813881</v>
      </c>
      <c r="AA236" s="2">
        <v>909.68</v>
      </c>
      <c r="AB236" s="18">
        <f t="shared" ref="AB236" si="1005">AA236-AA235</f>
        <v>0.68999999999994088</v>
      </c>
      <c r="AC236" s="18"/>
      <c r="AD236" s="24">
        <f t="shared" ref="AD236" si="1006">C236+E236+G236+I236+K236+M236+AF236</f>
        <v>0.51999999999999247</v>
      </c>
      <c r="AE236" s="25">
        <v>140.69999999999999</v>
      </c>
      <c r="AF236" s="24">
        <f t="shared" si="951"/>
        <v>0</v>
      </c>
      <c r="AG236" s="2"/>
      <c r="AH236" s="29"/>
    </row>
    <row r="237" spans="1:34" x14ac:dyDescent="0.25">
      <c r="A237" s="5">
        <v>44828</v>
      </c>
      <c r="B237" s="2">
        <v>23.06</v>
      </c>
      <c r="C237" s="18">
        <f t="shared" si="803"/>
        <v>0</v>
      </c>
      <c r="D237" s="67">
        <v>8.0299999999999994</v>
      </c>
      <c r="E237" s="18">
        <f t="shared" si="804"/>
        <v>9.9999999999997868E-3</v>
      </c>
      <c r="F237" s="2">
        <v>77.459999999999994</v>
      </c>
      <c r="G237" s="107">
        <f t="shared" si="805"/>
        <v>6.9999999999993179E-2</v>
      </c>
      <c r="H237" s="2">
        <v>2.7</v>
      </c>
      <c r="I237" s="18">
        <f t="shared" si="806"/>
        <v>0</v>
      </c>
      <c r="J237" s="2">
        <v>81.05</v>
      </c>
      <c r="K237" s="18">
        <f t="shared" si="807"/>
        <v>0.10999999999999943</v>
      </c>
      <c r="L237" s="2">
        <v>52.9</v>
      </c>
      <c r="M237" s="18">
        <f t="shared" ref="M237" si="1007">L237-L236</f>
        <v>7.0000000000000284E-2</v>
      </c>
      <c r="N237" s="18">
        <f t="shared" ref="N237" si="1008">G237-M237</f>
        <v>-7.1054273576010019E-15</v>
      </c>
      <c r="O237" s="114">
        <v>69270</v>
      </c>
      <c r="P237" s="17">
        <f t="shared" ref="P237" si="1009">O237-O236</f>
        <v>9</v>
      </c>
      <c r="Q237" s="18">
        <f t="shared" ref="Q237" si="1010">P237*$C$2</f>
        <v>2.6073</v>
      </c>
      <c r="R237" s="114">
        <v>1626</v>
      </c>
      <c r="S237" s="17">
        <f t="shared" ref="S237" si="1011">R237-R236</f>
        <v>3</v>
      </c>
      <c r="T237" s="17"/>
      <c r="U237" s="2">
        <v>33851</v>
      </c>
      <c r="V237" s="17">
        <f t="shared" ref="V237" si="1012">U237-U236</f>
        <v>1</v>
      </c>
      <c r="W237" s="18">
        <f t="shared" ref="W237" si="1013">V237*$C$3</f>
        <v>0.3</v>
      </c>
      <c r="X237" s="2">
        <v>12149</v>
      </c>
      <c r="Y237" s="108">
        <f t="shared" ref="Y237" si="1014">X237-X236</f>
        <v>3</v>
      </c>
      <c r="Z237" s="18">
        <f t="shared" ref="Z237" si="1015">Y237*$C$5*$G$4</f>
        <v>2.9352230428360411</v>
      </c>
      <c r="AA237" s="2">
        <v>909.92</v>
      </c>
      <c r="AB237" s="18">
        <f t="shared" ref="AB237" si="1016">AA237-AA236</f>
        <v>0.24000000000000909</v>
      </c>
      <c r="AC237" s="18"/>
      <c r="AD237" s="24">
        <f t="shared" ref="AD237" si="1017">C237+E237+G237+I237+K237+M237+AF237</f>
        <v>0.25999999999999268</v>
      </c>
      <c r="AE237" s="25">
        <v>140.69999999999999</v>
      </c>
      <c r="AF237" s="24">
        <f t="shared" si="951"/>
        <v>0</v>
      </c>
      <c r="AG237" s="2"/>
      <c r="AH237" s="29"/>
    </row>
    <row r="238" spans="1:34" x14ac:dyDescent="0.25">
      <c r="A238" s="5">
        <v>44829</v>
      </c>
      <c r="B238" s="2">
        <v>23.06</v>
      </c>
      <c r="C238" s="18">
        <f t="shared" si="803"/>
        <v>0</v>
      </c>
      <c r="D238" s="67">
        <v>8.06</v>
      </c>
      <c r="E238" s="18">
        <f t="shared" si="804"/>
        <v>3.0000000000001137E-2</v>
      </c>
      <c r="F238" s="2">
        <v>77.650000000000006</v>
      </c>
      <c r="G238" s="107">
        <f t="shared" si="805"/>
        <v>0.19000000000001194</v>
      </c>
      <c r="H238" s="2">
        <v>2.71</v>
      </c>
      <c r="I238" s="18">
        <f t="shared" si="806"/>
        <v>9.9999999999997868E-3</v>
      </c>
      <c r="J238" s="2">
        <v>81.2</v>
      </c>
      <c r="K238" s="18">
        <f t="shared" si="807"/>
        <v>0.15000000000000568</v>
      </c>
      <c r="L238" s="2">
        <v>53.06</v>
      </c>
      <c r="M238" s="18">
        <f t="shared" ref="M238" si="1018">L238-L237</f>
        <v>0.16000000000000369</v>
      </c>
      <c r="N238" s="18">
        <f t="shared" ref="N238" si="1019">G238-M238</f>
        <v>3.0000000000008242E-2</v>
      </c>
      <c r="O238" s="114">
        <v>69280</v>
      </c>
      <c r="P238" s="17">
        <f t="shared" ref="P238" si="1020">O238-O237</f>
        <v>10</v>
      </c>
      <c r="Q238" s="18">
        <f t="shared" ref="Q238" si="1021">P238*$C$2</f>
        <v>2.8970000000000002</v>
      </c>
      <c r="R238" s="114">
        <v>1630</v>
      </c>
      <c r="S238" s="17">
        <f t="shared" ref="S238" si="1022">R238-R237</f>
        <v>4</v>
      </c>
      <c r="T238" s="17"/>
      <c r="U238" s="2">
        <v>33853</v>
      </c>
      <c r="V238" s="17">
        <f t="shared" ref="V238" si="1023">U238-U237</f>
        <v>2</v>
      </c>
      <c r="W238" s="18">
        <f t="shared" ref="W238" si="1024">V238*$C$3</f>
        <v>0.6</v>
      </c>
      <c r="X238" s="2">
        <v>12153</v>
      </c>
      <c r="Y238" s="108">
        <f t="shared" ref="Y238" si="1025">X238-X237</f>
        <v>4</v>
      </c>
      <c r="Z238" s="18">
        <f t="shared" ref="Z238" si="1026">Y238*$C$5*$G$4</f>
        <v>3.9136307237813881</v>
      </c>
      <c r="AA238" s="2">
        <v>910.51</v>
      </c>
      <c r="AB238" s="18">
        <f t="shared" ref="AB238" si="1027">AA238-AA237</f>
        <v>0.59000000000003183</v>
      </c>
      <c r="AC238" s="18"/>
      <c r="AD238" s="24">
        <f t="shared" ref="AD238" si="1028">C238+E238+G238+I238+K238+M238+AF238</f>
        <v>0.54000000000002224</v>
      </c>
      <c r="AE238" s="25">
        <v>140.69999999999999</v>
      </c>
      <c r="AF238" s="24">
        <f t="shared" si="951"/>
        <v>0</v>
      </c>
      <c r="AG238" s="2"/>
      <c r="AH238" s="29"/>
    </row>
    <row r="239" spans="1:34" x14ac:dyDescent="0.25">
      <c r="A239" s="5">
        <v>44830</v>
      </c>
      <c r="B239" s="2">
        <v>23.06</v>
      </c>
      <c r="C239" s="18">
        <f t="shared" si="803"/>
        <v>0</v>
      </c>
      <c r="D239" s="67">
        <v>8.07</v>
      </c>
      <c r="E239" s="18">
        <f t="shared" si="804"/>
        <v>9.9999999999997868E-3</v>
      </c>
      <c r="F239" s="2">
        <v>77.75</v>
      </c>
      <c r="G239" s="107">
        <f t="shared" si="805"/>
        <v>9.9999999999994316E-2</v>
      </c>
      <c r="H239" s="2">
        <v>2.71</v>
      </c>
      <c r="I239" s="18">
        <f t="shared" si="806"/>
        <v>0</v>
      </c>
      <c r="J239" s="2">
        <v>81.33</v>
      </c>
      <c r="K239" s="18">
        <f t="shared" si="807"/>
        <v>0.12999999999999545</v>
      </c>
      <c r="L239" s="2">
        <v>53.15</v>
      </c>
      <c r="M239" s="18">
        <f t="shared" ref="M239" si="1029">L239-L238</f>
        <v>8.9999999999996305E-2</v>
      </c>
      <c r="N239" s="18">
        <f t="shared" ref="N239" si="1030">G239-M239</f>
        <v>9.9999999999980105E-3</v>
      </c>
      <c r="O239" s="114">
        <v>69290</v>
      </c>
      <c r="P239" s="17">
        <f t="shared" ref="P239" si="1031">O239-O238</f>
        <v>10</v>
      </c>
      <c r="Q239" s="18">
        <f t="shared" ref="Q239" si="1032">P239*$C$2</f>
        <v>2.8970000000000002</v>
      </c>
      <c r="R239" s="114">
        <v>1634</v>
      </c>
      <c r="S239" s="17">
        <f t="shared" ref="S239" si="1033">R239-R238</f>
        <v>4</v>
      </c>
      <c r="T239" s="17"/>
      <c r="U239" s="2">
        <v>33855</v>
      </c>
      <c r="V239" s="17">
        <f t="shared" ref="V239" si="1034">U239-U238</f>
        <v>2</v>
      </c>
      <c r="W239" s="18">
        <f t="shared" ref="W239" si="1035">V239*$C$3</f>
        <v>0.6</v>
      </c>
      <c r="X239" s="2">
        <v>12156</v>
      </c>
      <c r="Y239" s="108">
        <f t="shared" ref="Y239" si="1036">X239-X238</f>
        <v>3</v>
      </c>
      <c r="Z239" s="18">
        <f t="shared" ref="Z239" si="1037">Y239*$C$5*$G$4</f>
        <v>2.9352230428360411</v>
      </c>
      <c r="AA239" s="2">
        <v>910.98</v>
      </c>
      <c r="AB239" s="18">
        <f t="shared" ref="AB239" si="1038">AA239-AA238</f>
        <v>0.47000000000002728</v>
      </c>
      <c r="AC239" s="18"/>
      <c r="AD239" s="24">
        <f t="shared" ref="AD239" si="1039">C239+E239+G239+I239+K239+M239+AF239</f>
        <v>0.32999999999998586</v>
      </c>
      <c r="AE239" s="25">
        <v>140.69999999999999</v>
      </c>
      <c r="AF239" s="24">
        <f t="shared" si="951"/>
        <v>0</v>
      </c>
      <c r="AG239" s="2"/>
      <c r="AH239" s="29"/>
    </row>
    <row r="240" spans="1:34" x14ac:dyDescent="0.25">
      <c r="A240" s="5">
        <v>44831</v>
      </c>
      <c r="B240" s="2">
        <v>23.07</v>
      </c>
      <c r="C240" s="18">
        <f t="shared" si="803"/>
        <v>1.0000000000001563E-2</v>
      </c>
      <c r="D240" s="67">
        <v>8.09</v>
      </c>
      <c r="E240" s="18">
        <f t="shared" si="804"/>
        <v>1.9999999999999574E-2</v>
      </c>
      <c r="F240" s="2">
        <v>77.819999999999993</v>
      </c>
      <c r="G240" s="107">
        <f t="shared" si="805"/>
        <v>6.9999999999993179E-2</v>
      </c>
      <c r="H240" s="2">
        <v>2.71</v>
      </c>
      <c r="I240" s="18">
        <f t="shared" si="806"/>
        <v>0</v>
      </c>
      <c r="J240" s="2">
        <v>81.47</v>
      </c>
      <c r="K240" s="18">
        <f t="shared" si="807"/>
        <v>0.14000000000000057</v>
      </c>
      <c r="L240" s="2">
        <v>53.21</v>
      </c>
      <c r="M240" s="18">
        <f t="shared" ref="M240" si="1040">L240-L239</f>
        <v>6.0000000000002274E-2</v>
      </c>
      <c r="N240" s="18">
        <f t="shared" ref="N240" si="1041">G240-M240</f>
        <v>9.9999999999909051E-3</v>
      </c>
      <c r="O240" s="114">
        <v>69305</v>
      </c>
      <c r="P240" s="17">
        <f t="shared" ref="P240" si="1042">O240-O239</f>
        <v>15</v>
      </c>
      <c r="Q240" s="18">
        <f t="shared" ref="Q240" si="1043">P240*$C$2</f>
        <v>4.3455000000000004</v>
      </c>
      <c r="R240" s="114">
        <v>1637</v>
      </c>
      <c r="S240" s="17">
        <f t="shared" ref="S240" si="1044">R240-R239</f>
        <v>3</v>
      </c>
      <c r="T240" s="17"/>
      <c r="U240" s="2">
        <v>33857</v>
      </c>
      <c r="V240" s="17">
        <f t="shared" ref="V240" si="1045">U240-U239</f>
        <v>2</v>
      </c>
      <c r="W240" s="18">
        <f t="shared" ref="W240" si="1046">V240*$C$3</f>
        <v>0.6</v>
      </c>
      <c r="X240" s="2">
        <v>12160</v>
      </c>
      <c r="Y240" s="108">
        <f t="shared" ref="Y240" si="1047">X240-X239</f>
        <v>4</v>
      </c>
      <c r="Z240" s="18">
        <f t="shared" ref="Z240" si="1048">Y240*$C$5*$G$4</f>
        <v>3.9136307237813881</v>
      </c>
      <c r="AA240" s="2">
        <v>911.42</v>
      </c>
      <c r="AB240" s="18">
        <f t="shared" ref="AB240" si="1049">AA240-AA239</f>
        <v>0.43999999999994088</v>
      </c>
      <c r="AC240" s="18"/>
      <c r="AD240" s="24">
        <f t="shared" ref="AD240" si="1050">C240+E240+G240+I240+K240+M240+AF240</f>
        <v>0.29999999999999716</v>
      </c>
      <c r="AE240" s="25">
        <v>140.69999999999999</v>
      </c>
      <c r="AF240" s="24">
        <f t="shared" si="951"/>
        <v>0</v>
      </c>
      <c r="AG240" s="2"/>
      <c r="AH240" s="29"/>
    </row>
    <row r="241" spans="1:34" x14ac:dyDescent="0.25">
      <c r="A241" s="5">
        <v>44832</v>
      </c>
      <c r="B241" s="2">
        <v>23.08</v>
      </c>
      <c r="C241" s="18">
        <f t="shared" si="803"/>
        <v>9.9999999999980105E-3</v>
      </c>
      <c r="D241" s="67">
        <v>8.1</v>
      </c>
      <c r="E241" s="18">
        <f t="shared" si="804"/>
        <v>9.9999999999997868E-3</v>
      </c>
      <c r="F241" s="2">
        <v>77.900000000000006</v>
      </c>
      <c r="G241" s="107">
        <f t="shared" si="805"/>
        <v>8.0000000000012506E-2</v>
      </c>
      <c r="H241" s="2">
        <v>2.72</v>
      </c>
      <c r="I241" s="18">
        <f t="shared" si="806"/>
        <v>1.0000000000000231E-2</v>
      </c>
      <c r="J241" s="2">
        <v>81.58</v>
      </c>
      <c r="K241" s="18">
        <f t="shared" si="807"/>
        <v>0.10999999999999943</v>
      </c>
      <c r="L241" s="2">
        <v>53.27</v>
      </c>
      <c r="M241" s="18">
        <f t="shared" ref="M241" si="1051">L241-L240</f>
        <v>6.0000000000002274E-2</v>
      </c>
      <c r="N241" s="18">
        <f t="shared" ref="N241" si="1052">G241-M241</f>
        <v>2.0000000000010232E-2</v>
      </c>
      <c r="O241" s="114">
        <v>69319</v>
      </c>
      <c r="P241" s="17">
        <f t="shared" ref="P241" si="1053">O241-O240</f>
        <v>14</v>
      </c>
      <c r="Q241" s="18">
        <f t="shared" ref="Q241" si="1054">P241*$C$2</f>
        <v>4.0558000000000005</v>
      </c>
      <c r="R241" s="114">
        <v>1641</v>
      </c>
      <c r="S241" s="17">
        <f t="shared" ref="S241" si="1055">R241-R240</f>
        <v>4</v>
      </c>
      <c r="T241" s="17"/>
      <c r="U241" s="2">
        <v>33860</v>
      </c>
      <c r="V241" s="17">
        <f t="shared" ref="V241" si="1056">U241-U240</f>
        <v>3</v>
      </c>
      <c r="W241" s="18">
        <f t="shared" ref="W241" si="1057">V241*$C$3</f>
        <v>0.89999999999999991</v>
      </c>
      <c r="X241" s="2">
        <v>12165</v>
      </c>
      <c r="Y241" s="108">
        <f t="shared" ref="Y241" si="1058">X241-X240</f>
        <v>5</v>
      </c>
      <c r="Z241" s="18">
        <f t="shared" ref="Z241" si="1059">Y241*$C$5*$G$4</f>
        <v>4.8920384047267351</v>
      </c>
      <c r="AA241" s="2">
        <v>911.82</v>
      </c>
      <c r="AB241" s="18">
        <f t="shared" ref="AB241" si="1060">AA241-AA240</f>
        <v>0.40000000000009095</v>
      </c>
      <c r="AC241" s="18"/>
      <c r="AD241" s="24">
        <f t="shared" ref="AD241" si="1061">C241+E241+G241+I241+K241+M241+AF241</f>
        <v>0.28000000000001224</v>
      </c>
      <c r="AE241" s="25">
        <v>140.69999999999999</v>
      </c>
      <c r="AF241" s="24">
        <f t="shared" si="951"/>
        <v>0</v>
      </c>
      <c r="AG241" s="2"/>
      <c r="AH241" s="29"/>
    </row>
    <row r="242" spans="1:34" x14ac:dyDescent="0.25">
      <c r="A242" s="5">
        <v>44833</v>
      </c>
      <c r="B242" s="2">
        <v>23.08</v>
      </c>
      <c r="C242" s="18">
        <f t="shared" si="803"/>
        <v>0</v>
      </c>
      <c r="D242" s="67">
        <v>8.14</v>
      </c>
      <c r="E242" s="18">
        <f t="shared" si="804"/>
        <v>4.0000000000000924E-2</v>
      </c>
      <c r="F242" s="2">
        <v>78.12</v>
      </c>
      <c r="G242" s="107">
        <f t="shared" si="805"/>
        <v>0.21999999999999886</v>
      </c>
      <c r="H242" s="2">
        <v>2.72</v>
      </c>
      <c r="I242" s="18">
        <f t="shared" si="806"/>
        <v>0</v>
      </c>
      <c r="J242" s="2">
        <v>81.709999999999994</v>
      </c>
      <c r="K242" s="18">
        <f t="shared" si="807"/>
        <v>0.12999999999999545</v>
      </c>
      <c r="L242" s="2">
        <v>53.35</v>
      </c>
      <c r="M242" s="18">
        <f t="shared" ref="M242" si="1062">L242-L241</f>
        <v>7.9999999999998295E-2</v>
      </c>
      <c r="N242" s="18">
        <f t="shared" ref="N242" si="1063">G242-M242</f>
        <v>0.14000000000000057</v>
      </c>
      <c r="O242" s="114">
        <v>69331</v>
      </c>
      <c r="P242" s="17">
        <f t="shared" ref="P242" si="1064">O242-O241</f>
        <v>12</v>
      </c>
      <c r="Q242" s="18">
        <f t="shared" ref="Q242" si="1065">P242*$C$2</f>
        <v>3.4763999999999999</v>
      </c>
      <c r="R242" s="114">
        <v>1646</v>
      </c>
      <c r="S242" s="17">
        <f t="shared" ref="S242" si="1066">R242-R241</f>
        <v>5</v>
      </c>
      <c r="T242" s="17"/>
      <c r="U242" s="2">
        <v>33862</v>
      </c>
      <c r="V242" s="17">
        <f>U242-U241</f>
        <v>2</v>
      </c>
      <c r="W242" s="18">
        <f t="shared" ref="W242" si="1067">V242*$C$3</f>
        <v>0.6</v>
      </c>
      <c r="X242" s="2">
        <v>12170</v>
      </c>
      <c r="Y242" s="108">
        <f t="shared" ref="Y242" si="1068">X242-X241</f>
        <v>5</v>
      </c>
      <c r="Z242" s="18">
        <f t="shared" ref="Z242" si="1069">Y242*$C$5*$G$4</f>
        <v>4.8920384047267351</v>
      </c>
      <c r="AA242" s="2">
        <v>912.59</v>
      </c>
      <c r="AB242" s="18">
        <f t="shared" ref="AB242" si="1070">AA242-AA241</f>
        <v>0.76999999999998181</v>
      </c>
      <c r="AC242" s="18"/>
      <c r="AD242" s="24">
        <f t="shared" ref="AD242" si="1071">C242+E242+G242+I242+K242+M242+AF242</f>
        <v>0.46999999999999353</v>
      </c>
      <c r="AE242" s="25">
        <v>140.69999999999999</v>
      </c>
      <c r="AF242" s="24">
        <f t="shared" si="951"/>
        <v>0</v>
      </c>
      <c r="AG242" s="2"/>
      <c r="AH242" s="29"/>
    </row>
    <row r="243" spans="1:34" x14ac:dyDescent="0.25">
      <c r="A243" s="5">
        <v>44834</v>
      </c>
      <c r="B243" s="2">
        <v>23.08</v>
      </c>
      <c r="C243" s="18">
        <f t="shared" si="803"/>
        <v>0</v>
      </c>
      <c r="D243" s="67">
        <v>8.15</v>
      </c>
      <c r="E243" s="18">
        <f t="shared" si="804"/>
        <v>9.9999999999997868E-3</v>
      </c>
      <c r="F243" s="2">
        <v>78.209999999999994</v>
      </c>
      <c r="G243" s="107">
        <f t="shared" si="805"/>
        <v>8.99999999999892E-2</v>
      </c>
      <c r="H243" s="2">
        <v>2.72</v>
      </c>
      <c r="I243" s="18">
        <f t="shared" si="806"/>
        <v>0</v>
      </c>
      <c r="J243" s="2">
        <v>81.819999999999993</v>
      </c>
      <c r="K243" s="18">
        <f t="shared" si="807"/>
        <v>0.10999999999999943</v>
      </c>
      <c r="L243" s="2">
        <v>53.4</v>
      </c>
      <c r="M243" s="18">
        <f t="shared" ref="M243" si="1072">L243-L242</f>
        <v>4.9999999999997158E-2</v>
      </c>
      <c r="N243" s="18">
        <f t="shared" ref="N243" si="1073">G243-M243</f>
        <v>3.9999999999992042E-2</v>
      </c>
      <c r="O243" s="114">
        <v>69344</v>
      </c>
      <c r="P243" s="17">
        <f t="shared" ref="P243" si="1074">O243-O242</f>
        <v>13</v>
      </c>
      <c r="Q243" s="18">
        <f t="shared" ref="Q243" si="1075">P243*$C$2</f>
        <v>3.7661000000000002</v>
      </c>
      <c r="R243" s="114">
        <v>1652</v>
      </c>
      <c r="S243" s="17">
        <f t="shared" ref="S243" si="1076">R243-R242</f>
        <v>6</v>
      </c>
      <c r="T243" s="17"/>
      <c r="U243" s="2">
        <v>33862</v>
      </c>
      <c r="V243" s="17">
        <f>U243-U242</f>
        <v>0</v>
      </c>
      <c r="W243" s="18">
        <f t="shared" ref="W243" si="1077">V243*$C$3</f>
        <v>0</v>
      </c>
      <c r="X243" s="2">
        <v>12176</v>
      </c>
      <c r="Y243" s="108">
        <f t="shared" ref="Y243" si="1078">X243-X242</f>
        <v>6</v>
      </c>
      <c r="Z243" s="18">
        <f t="shared" ref="Z243" si="1079">Y243*$C$5*$G$4</f>
        <v>5.8704460856720821</v>
      </c>
      <c r="AA243" s="2">
        <v>912.9</v>
      </c>
      <c r="AB243" s="18">
        <f t="shared" ref="AB243" si="1080">AA243-AA242</f>
        <v>0.30999999999994543</v>
      </c>
      <c r="AC243" s="18"/>
      <c r="AD243" s="24">
        <f t="shared" ref="AD243:AD246" si="1081">C243+E243+G243+I243+K243+M243+AF243</f>
        <v>0.25999999999998558</v>
      </c>
      <c r="AE243" s="25">
        <v>140.69999999999999</v>
      </c>
      <c r="AF243" s="24">
        <f t="shared" si="951"/>
        <v>0</v>
      </c>
      <c r="AG243" s="2"/>
      <c r="AH243" s="29"/>
    </row>
    <row r="244" spans="1:34" x14ac:dyDescent="0.25">
      <c r="A244" s="32" t="s">
        <v>141</v>
      </c>
      <c r="B244" s="66"/>
      <c r="C244" s="34">
        <f>SUM(C214:C243)</f>
        <v>0.53999999999999915</v>
      </c>
      <c r="D244" s="61"/>
      <c r="E244" s="66">
        <f t="shared" ref="E244:K244" si="1082">SUM(E214:E243)</f>
        <v>0.48000000000000043</v>
      </c>
      <c r="F244" s="61"/>
      <c r="G244" s="66">
        <f t="shared" si="1082"/>
        <v>4.1299999999999955</v>
      </c>
      <c r="H244" s="61"/>
      <c r="I244" s="34">
        <f t="shared" si="1082"/>
        <v>0.10000000000000009</v>
      </c>
      <c r="J244" s="61"/>
      <c r="K244" s="66">
        <f t="shared" si="1082"/>
        <v>4.3899999999999864</v>
      </c>
      <c r="L244" s="61"/>
      <c r="M244" s="66">
        <f>SUM(M214:M243)</f>
        <v>2.4399999999999977</v>
      </c>
      <c r="N244" s="34">
        <f>SUM(N214:N243)</f>
        <v>1.6899999999999977</v>
      </c>
      <c r="O244" s="116"/>
      <c r="P244" s="33">
        <f>SUM(P214:P243)</f>
        <v>294</v>
      </c>
      <c r="Q244" s="109">
        <f>SUM(Q214:Q243)</f>
        <v>85.171800000000005</v>
      </c>
      <c r="R244" s="116" t="s">
        <v>63</v>
      </c>
      <c r="S244" s="34">
        <f>SUM(S214:S243)</f>
        <v>106</v>
      </c>
      <c r="T244" s="34"/>
      <c r="U244" s="34"/>
      <c r="V244" s="34">
        <f>SUM(V213:V243)</f>
        <v>208</v>
      </c>
      <c r="W244" s="109">
        <f>SUM(W214:W243)</f>
        <v>22.499999999999996</v>
      </c>
      <c r="X244" s="34"/>
      <c r="Y244" s="129">
        <f>SUM(Y213:Y243)</f>
        <v>90</v>
      </c>
      <c r="Z244" s="109">
        <f>SUM(Z214:Z243)</f>
        <v>63.596499261447562</v>
      </c>
      <c r="AA244" s="34"/>
      <c r="AB244" s="61">
        <f>SUM(AB214:AB243)</f>
        <v>16.789999999999964</v>
      </c>
      <c r="AC244" s="34"/>
      <c r="AD244" s="34">
        <f t="shared" si="1081"/>
        <v>13.939999999999964</v>
      </c>
      <c r="AE244" s="61"/>
      <c r="AF244" s="34">
        <f>SUM(AF213:AF243)</f>
        <v>1.8599999999999852</v>
      </c>
      <c r="AG244" s="34"/>
      <c r="AH244" s="29"/>
    </row>
    <row r="245" spans="1:34" x14ac:dyDescent="0.25">
      <c r="A245" s="5">
        <v>44835</v>
      </c>
      <c r="B245" s="2">
        <v>23.11</v>
      </c>
      <c r="C245" s="18">
        <f>B245-B243</f>
        <v>3.0000000000001137E-2</v>
      </c>
      <c r="D245" s="67">
        <v>8.17</v>
      </c>
      <c r="E245" s="107">
        <f>D245-D243</f>
        <v>1.9999999999999574E-2</v>
      </c>
      <c r="F245" s="2">
        <v>78.44</v>
      </c>
      <c r="G245" s="107">
        <f>F245-F243</f>
        <v>0.23000000000000398</v>
      </c>
      <c r="H245" s="2">
        <v>2.73</v>
      </c>
      <c r="I245" s="107">
        <f>H245-H243</f>
        <v>9.9999999999997868E-3</v>
      </c>
      <c r="J245" s="2">
        <v>81.95</v>
      </c>
      <c r="K245" s="18">
        <f>J245-J243</f>
        <v>0.13000000000000966</v>
      </c>
      <c r="L245" s="2">
        <v>53.49</v>
      </c>
      <c r="M245" s="18">
        <f>L245-L243</f>
        <v>9.0000000000003411E-2</v>
      </c>
      <c r="N245" s="18">
        <f t="shared" ref="N245" si="1083">G245-M245</f>
        <v>0.14000000000000057</v>
      </c>
      <c r="O245" s="114">
        <v>69357</v>
      </c>
      <c r="P245" s="17">
        <f>O245-O243</f>
        <v>13</v>
      </c>
      <c r="Q245" s="18">
        <f t="shared" ref="Q245" si="1084">P245*$C$2</f>
        <v>3.7661000000000002</v>
      </c>
      <c r="R245" s="114">
        <v>1656</v>
      </c>
      <c r="S245" s="17">
        <f>R245-R243</f>
        <v>4</v>
      </c>
      <c r="T245" s="17"/>
      <c r="U245" s="2">
        <v>33866</v>
      </c>
      <c r="V245" s="17">
        <f>U245-U243</f>
        <v>4</v>
      </c>
      <c r="W245" s="18">
        <f t="shared" ref="W245" si="1085">V245*$C$3</f>
        <v>1.2</v>
      </c>
      <c r="X245" s="2">
        <v>12182</v>
      </c>
      <c r="Y245" s="108">
        <f>X245-X243</f>
        <v>6</v>
      </c>
      <c r="Z245" s="18">
        <f t="shared" ref="Z245:Z259" si="1086">Y245*$C$6*$G$4</f>
        <v>7.8339172821270298</v>
      </c>
      <c r="AA245" s="2">
        <v>913.58</v>
      </c>
      <c r="AB245" s="17">
        <f>AA245-AA243</f>
        <v>0.68000000000006366</v>
      </c>
      <c r="AC245" s="17"/>
      <c r="AD245" s="24">
        <f t="shared" si="1081"/>
        <v>0.51000000000001755</v>
      </c>
      <c r="AE245" s="25">
        <v>140.69999999999999</v>
      </c>
      <c r="AF245" s="24">
        <f>AE245-AE243</f>
        <v>0</v>
      </c>
      <c r="AG245" s="2"/>
      <c r="AH245" s="29"/>
    </row>
    <row r="246" spans="1:34" x14ac:dyDescent="0.25">
      <c r="A246" s="5">
        <v>44836</v>
      </c>
      <c r="B246" s="2">
        <v>23.14</v>
      </c>
      <c r="C246" s="18">
        <f>B246-B245</f>
        <v>3.0000000000001137E-2</v>
      </c>
      <c r="D246" s="67">
        <v>8.1999999999999993</v>
      </c>
      <c r="E246" s="107">
        <f t="shared" ref="E246:E251" si="1087">D246-D245</f>
        <v>2.9999999999999361E-2</v>
      </c>
      <c r="F246" s="2">
        <v>78.599999999999994</v>
      </c>
      <c r="G246" s="107">
        <f t="shared" ref="G246:G251" si="1088">F246-F245</f>
        <v>0.15999999999999659</v>
      </c>
      <c r="H246" s="2">
        <v>2.74</v>
      </c>
      <c r="I246" s="107">
        <f t="shared" ref="I246:I251" si="1089">H246-H245</f>
        <v>1.0000000000000231E-2</v>
      </c>
      <c r="J246" s="2">
        <v>82.11</v>
      </c>
      <c r="K246" s="18">
        <f t="shared" ref="K246:K251" si="1090">J246-J245</f>
        <v>0.15999999999999659</v>
      </c>
      <c r="L246" s="2">
        <v>53.6</v>
      </c>
      <c r="M246" s="18">
        <f t="shared" ref="M246:M251" si="1091">L246-L245</f>
        <v>0.10999999999999943</v>
      </c>
      <c r="N246" s="18">
        <f t="shared" ref="N246" si="1092">G246-M246</f>
        <v>4.9999999999997158E-2</v>
      </c>
      <c r="O246" s="114">
        <v>69369</v>
      </c>
      <c r="P246" s="68">
        <f t="shared" ref="P246:P251" si="1093">O246-O245</f>
        <v>12</v>
      </c>
      <c r="Q246" s="18">
        <f t="shared" ref="Q246" si="1094">P246*$C$2</f>
        <v>3.4763999999999999</v>
      </c>
      <c r="R246" s="114">
        <v>1661</v>
      </c>
      <c r="S246" s="68">
        <f t="shared" ref="S246:S251" si="1095">R246-R245</f>
        <v>5</v>
      </c>
      <c r="T246" s="17"/>
      <c r="U246" s="2">
        <v>33871</v>
      </c>
      <c r="V246" s="17">
        <f t="shared" ref="V246:V251" si="1096">U246-U245</f>
        <v>5</v>
      </c>
      <c r="W246" s="18">
        <f t="shared" ref="W246" si="1097">V246*$C$3</f>
        <v>1.5</v>
      </c>
      <c r="X246" s="2">
        <v>12188</v>
      </c>
      <c r="Y246" s="108">
        <f t="shared" ref="Y246:Y251" si="1098">X246-X245</f>
        <v>6</v>
      </c>
      <c r="Z246" s="18">
        <f t="shared" si="1086"/>
        <v>7.8339172821270298</v>
      </c>
      <c r="AA246" s="2">
        <v>914.25</v>
      </c>
      <c r="AB246" s="17">
        <f t="shared" ref="AB246:AB251" si="1099">AA246-AA245</f>
        <v>0.66999999999995907</v>
      </c>
      <c r="AC246" s="17"/>
      <c r="AD246" s="24">
        <f t="shared" si="1081"/>
        <v>0.49999999999999334</v>
      </c>
      <c r="AE246" s="25">
        <v>140.69999999999999</v>
      </c>
      <c r="AF246" s="24">
        <f t="shared" ref="AF246:AF259" si="1100">AE246-AE245</f>
        <v>0</v>
      </c>
      <c r="AG246" s="2"/>
      <c r="AH246" s="29"/>
    </row>
    <row r="247" spans="1:34" x14ac:dyDescent="0.25">
      <c r="A247" s="5">
        <v>44837</v>
      </c>
      <c r="B247" s="2">
        <v>23.15</v>
      </c>
      <c r="C247" s="18">
        <f>B247-B246</f>
        <v>9.9999999999980105E-3</v>
      </c>
      <c r="D247" s="67">
        <v>8.2200000000000006</v>
      </c>
      <c r="E247" s="107">
        <f t="shared" si="1087"/>
        <v>2.000000000000135E-2</v>
      </c>
      <c r="F247" s="2">
        <v>78.83</v>
      </c>
      <c r="G247" s="107">
        <f t="shared" si="1088"/>
        <v>0.23000000000000398</v>
      </c>
      <c r="H247" s="2">
        <v>2.74</v>
      </c>
      <c r="I247" s="107">
        <f t="shared" si="1089"/>
        <v>0</v>
      </c>
      <c r="J247" s="2">
        <v>82.27</v>
      </c>
      <c r="K247" s="18">
        <f t="shared" si="1090"/>
        <v>0.15999999999999659</v>
      </c>
      <c r="L247" s="2">
        <v>53.77</v>
      </c>
      <c r="M247" s="18">
        <f t="shared" si="1091"/>
        <v>0.17000000000000171</v>
      </c>
      <c r="N247" s="18">
        <f t="shared" ref="N247" si="1101">G247-M247</f>
        <v>6.0000000000002274E-2</v>
      </c>
      <c r="O247" s="114">
        <v>69378</v>
      </c>
      <c r="P247" s="68">
        <f t="shared" si="1093"/>
        <v>9</v>
      </c>
      <c r="Q247" s="18">
        <f t="shared" ref="Q247" si="1102">P247*$C$2</f>
        <v>2.6073</v>
      </c>
      <c r="R247" s="114">
        <v>1665</v>
      </c>
      <c r="S247" s="68">
        <f t="shared" si="1095"/>
        <v>4</v>
      </c>
      <c r="T247" s="17"/>
      <c r="U247" s="2">
        <v>33875</v>
      </c>
      <c r="V247" s="17">
        <f t="shared" si="1096"/>
        <v>4</v>
      </c>
      <c r="W247" s="18">
        <f t="shared" ref="W247" si="1103">V247*$C$3</f>
        <v>1.2</v>
      </c>
      <c r="X247" s="2">
        <v>12191</v>
      </c>
      <c r="Y247" s="108">
        <f t="shared" si="1098"/>
        <v>3</v>
      </c>
      <c r="Z247" s="18">
        <f t="shared" si="1086"/>
        <v>3.9169586410635149</v>
      </c>
      <c r="AA247" s="2">
        <v>914.99</v>
      </c>
      <c r="AB247" s="17">
        <f t="shared" si="1099"/>
        <v>0.74000000000000909</v>
      </c>
      <c r="AC247" s="17"/>
      <c r="AD247" s="24">
        <f t="shared" ref="AD247" si="1104">C247+E247+G247+I247+K247+M247+AF247</f>
        <v>0.59000000000000163</v>
      </c>
      <c r="AE247" s="25">
        <v>140.69999999999999</v>
      </c>
      <c r="AF247" s="24">
        <f t="shared" si="1100"/>
        <v>0</v>
      </c>
      <c r="AG247" s="2"/>
      <c r="AH247" s="29"/>
    </row>
    <row r="248" spans="1:34" x14ac:dyDescent="0.25">
      <c r="A248" s="5">
        <v>44838</v>
      </c>
      <c r="B248" s="2">
        <v>23.2</v>
      </c>
      <c r="C248" s="18">
        <f>B248-B247</f>
        <v>5.0000000000000711E-2</v>
      </c>
      <c r="D248" s="67">
        <v>8.2200000000000006</v>
      </c>
      <c r="E248" s="107">
        <f t="shared" si="1087"/>
        <v>0</v>
      </c>
      <c r="F248" s="2">
        <v>78.989999999999995</v>
      </c>
      <c r="G248" s="107">
        <f t="shared" si="1088"/>
        <v>0.15999999999999659</v>
      </c>
      <c r="H248" s="2">
        <v>2.75</v>
      </c>
      <c r="I248" s="107">
        <f t="shared" si="1089"/>
        <v>9.9999999999997868E-3</v>
      </c>
      <c r="J248" s="2">
        <v>82.42</v>
      </c>
      <c r="K248" s="18">
        <f t="shared" si="1090"/>
        <v>0.15000000000000568</v>
      </c>
      <c r="L248" s="2">
        <v>53.84</v>
      </c>
      <c r="M248" s="18">
        <f t="shared" si="1091"/>
        <v>7.0000000000000284E-2</v>
      </c>
      <c r="N248" s="18">
        <f t="shared" ref="N248" si="1105">G248-M248</f>
        <v>8.9999999999996305E-2</v>
      </c>
      <c r="O248" s="114">
        <v>69389</v>
      </c>
      <c r="P248" s="68">
        <f t="shared" si="1093"/>
        <v>11</v>
      </c>
      <c r="Q248" s="18">
        <f t="shared" ref="Q248" si="1106">P248*$C$2</f>
        <v>3.1867000000000001</v>
      </c>
      <c r="R248" s="114">
        <v>1669</v>
      </c>
      <c r="S248" s="68">
        <f t="shared" si="1095"/>
        <v>4</v>
      </c>
      <c r="T248" s="17"/>
      <c r="U248" s="2">
        <v>33881</v>
      </c>
      <c r="V248" s="17">
        <f t="shared" si="1096"/>
        <v>6</v>
      </c>
      <c r="W248" s="18">
        <f t="shared" ref="W248" si="1107">V248*$C$3</f>
        <v>1.7999999999999998</v>
      </c>
      <c r="X248" s="2">
        <v>12194</v>
      </c>
      <c r="Y248" s="108">
        <f t="shared" si="1098"/>
        <v>3</v>
      </c>
      <c r="Z248" s="18">
        <f t="shared" si="1086"/>
        <v>3.9169586410635149</v>
      </c>
      <c r="AA248" s="2">
        <v>915.71</v>
      </c>
      <c r="AB248" s="17">
        <f t="shared" si="1099"/>
        <v>0.72000000000002728</v>
      </c>
      <c r="AC248" s="17"/>
      <c r="AD248" s="24">
        <f t="shared" ref="AD248" si="1108">C248+E248+G248+I248+K248+M248+AF248</f>
        <v>0.44000000000000306</v>
      </c>
      <c r="AE248" s="25">
        <v>140.69999999999999</v>
      </c>
      <c r="AF248" s="24">
        <f t="shared" si="1100"/>
        <v>0</v>
      </c>
      <c r="AG248" s="2"/>
      <c r="AH248" s="29"/>
    </row>
    <row r="249" spans="1:34" x14ac:dyDescent="0.25">
      <c r="A249" s="5">
        <v>44839</v>
      </c>
      <c r="B249" s="2">
        <v>23.22</v>
      </c>
      <c r="C249" s="18">
        <f>B249-B248</f>
        <v>1.9999999999999574E-2</v>
      </c>
      <c r="D249" s="67">
        <v>8.24</v>
      </c>
      <c r="E249" s="107">
        <f t="shared" si="1087"/>
        <v>1.9999999999999574E-2</v>
      </c>
      <c r="F249" s="2">
        <v>79.06</v>
      </c>
      <c r="G249" s="107">
        <f t="shared" si="1088"/>
        <v>7.000000000000739E-2</v>
      </c>
      <c r="H249" s="2">
        <v>2.75</v>
      </c>
      <c r="I249" s="107">
        <f t="shared" si="1089"/>
        <v>0</v>
      </c>
      <c r="J249" s="2">
        <v>82.53</v>
      </c>
      <c r="K249" s="18">
        <f t="shared" si="1090"/>
        <v>0.10999999999999943</v>
      </c>
      <c r="L249" s="2">
        <v>53.91</v>
      </c>
      <c r="M249" s="18">
        <f t="shared" si="1091"/>
        <v>6.9999999999993179E-2</v>
      </c>
      <c r="N249" s="18">
        <f t="shared" ref="N249" si="1109">G249-M249</f>
        <v>1.4210854715202004E-14</v>
      </c>
      <c r="O249" s="114">
        <v>69400</v>
      </c>
      <c r="P249" s="68">
        <f t="shared" si="1093"/>
        <v>11</v>
      </c>
      <c r="Q249" s="18">
        <f t="shared" ref="Q249" si="1110">P249*$C$2</f>
        <v>3.1867000000000001</v>
      </c>
      <c r="R249" s="114">
        <v>1673</v>
      </c>
      <c r="S249" s="68">
        <f t="shared" si="1095"/>
        <v>4</v>
      </c>
      <c r="T249" s="17"/>
      <c r="U249" s="2">
        <v>33885</v>
      </c>
      <c r="V249" s="17">
        <f t="shared" si="1096"/>
        <v>4</v>
      </c>
      <c r="W249" s="18">
        <f t="shared" ref="W249" si="1111">V249*$C$3</f>
        <v>1.2</v>
      </c>
      <c r="X249" s="2">
        <v>12197</v>
      </c>
      <c r="Y249" s="108">
        <f t="shared" si="1098"/>
        <v>3</v>
      </c>
      <c r="Z249" s="18">
        <f t="shared" si="1086"/>
        <v>3.9169586410635149</v>
      </c>
      <c r="AA249" s="2">
        <v>916.13</v>
      </c>
      <c r="AB249" s="17">
        <f t="shared" si="1099"/>
        <v>0.41999999999995907</v>
      </c>
      <c r="AC249" s="17"/>
      <c r="AD249" s="24">
        <f t="shared" ref="AD249" si="1112">C249+E249+G249+I249+K249+M249+AF249</f>
        <v>0.28999999999999915</v>
      </c>
      <c r="AE249" s="25">
        <v>140.69999999999999</v>
      </c>
      <c r="AF249" s="24">
        <f t="shared" si="1100"/>
        <v>0</v>
      </c>
      <c r="AG249" s="2"/>
      <c r="AH249" s="29"/>
    </row>
    <row r="250" spans="1:34" x14ac:dyDescent="0.25">
      <c r="A250" s="5">
        <v>44840</v>
      </c>
      <c r="B250" s="2">
        <v>23.26</v>
      </c>
      <c r="C250" s="18">
        <f t="shared" ref="C250:C251" si="1113">B250-B249</f>
        <v>4.00000000000027E-2</v>
      </c>
      <c r="D250" s="67">
        <v>8.2799999999999994</v>
      </c>
      <c r="E250" s="107">
        <f t="shared" si="1087"/>
        <v>3.9999999999999147E-2</v>
      </c>
      <c r="F250" s="2">
        <v>79.27</v>
      </c>
      <c r="G250" s="107">
        <f t="shared" si="1088"/>
        <v>0.20999999999999375</v>
      </c>
      <c r="H250" s="2">
        <v>2.76</v>
      </c>
      <c r="I250" s="107">
        <f t="shared" si="1089"/>
        <v>9.9999999999997868E-3</v>
      </c>
      <c r="J250" s="2">
        <v>82.67</v>
      </c>
      <c r="K250" s="18">
        <f t="shared" si="1090"/>
        <v>0.14000000000000057</v>
      </c>
      <c r="L250" s="2">
        <v>53.99</v>
      </c>
      <c r="M250" s="18">
        <f t="shared" si="1091"/>
        <v>8.00000000000054E-2</v>
      </c>
      <c r="N250" s="18">
        <f t="shared" ref="N250" si="1114">G250-M250</f>
        <v>0.12999999999998835</v>
      </c>
      <c r="O250" s="114">
        <v>69410</v>
      </c>
      <c r="P250" s="68">
        <f t="shared" si="1093"/>
        <v>10</v>
      </c>
      <c r="Q250" s="18">
        <f t="shared" ref="Q250" si="1115">P250*$C$2</f>
        <v>2.8970000000000002</v>
      </c>
      <c r="R250" s="114">
        <v>1679</v>
      </c>
      <c r="S250" s="68">
        <f t="shared" si="1095"/>
        <v>6</v>
      </c>
      <c r="T250" s="17"/>
      <c r="U250" s="2">
        <v>33891</v>
      </c>
      <c r="V250" s="17">
        <f t="shared" si="1096"/>
        <v>6</v>
      </c>
      <c r="W250" s="18">
        <f t="shared" ref="W250" si="1116">V250*$C$3</f>
        <v>1.7999999999999998</v>
      </c>
      <c r="X250" s="2">
        <v>12201</v>
      </c>
      <c r="Y250" s="108">
        <f t="shared" si="1098"/>
        <v>4</v>
      </c>
      <c r="Z250" s="18">
        <f t="shared" si="1086"/>
        <v>5.2226115214180204</v>
      </c>
      <c r="AA250" s="2">
        <v>916.92</v>
      </c>
      <c r="AB250" s="17">
        <f t="shared" si="1099"/>
        <v>0.78999999999996362</v>
      </c>
      <c r="AC250" s="17"/>
      <c r="AD250" s="24">
        <f t="shared" ref="AD250" si="1117">C250+E250+G250+I250+K250+M250+AF250</f>
        <v>0.52000000000000135</v>
      </c>
      <c r="AE250" s="25">
        <v>140.69999999999999</v>
      </c>
      <c r="AF250" s="24">
        <f t="shared" si="1100"/>
        <v>0</v>
      </c>
      <c r="AG250" s="2"/>
      <c r="AH250" s="29"/>
    </row>
    <row r="251" spans="1:34" x14ac:dyDescent="0.25">
      <c r="A251" s="5">
        <v>44841</v>
      </c>
      <c r="B251" s="2">
        <v>23.37</v>
      </c>
      <c r="C251" s="18">
        <f t="shared" si="1113"/>
        <v>0.10999999999999943</v>
      </c>
      <c r="D251" s="67">
        <v>8.2899999999999991</v>
      </c>
      <c r="E251" s="107">
        <f t="shared" si="1087"/>
        <v>9.9999999999997868E-3</v>
      </c>
      <c r="F251" s="2">
        <v>79.42</v>
      </c>
      <c r="G251" s="107">
        <f t="shared" si="1088"/>
        <v>0.15000000000000568</v>
      </c>
      <c r="H251" s="2">
        <v>2.76</v>
      </c>
      <c r="I251" s="107">
        <f t="shared" si="1089"/>
        <v>0</v>
      </c>
      <c r="J251" s="2">
        <v>82.78</v>
      </c>
      <c r="K251" s="18">
        <f t="shared" si="1090"/>
        <v>0.10999999999999943</v>
      </c>
      <c r="L251" s="2">
        <v>54.04</v>
      </c>
      <c r="M251" s="18">
        <f t="shared" si="1091"/>
        <v>4.9999999999997158E-2</v>
      </c>
      <c r="N251" s="18">
        <f t="shared" ref="N251:N260" si="1118">G251-M251</f>
        <v>0.10000000000000853</v>
      </c>
      <c r="O251" s="114">
        <v>69418</v>
      </c>
      <c r="P251" s="68">
        <f t="shared" si="1093"/>
        <v>8</v>
      </c>
      <c r="Q251" s="18">
        <f t="shared" ref="Q251:Q260" si="1119">P251*$C$2</f>
        <v>2.3176000000000001</v>
      </c>
      <c r="R251" s="114">
        <v>1682</v>
      </c>
      <c r="S251" s="68">
        <f t="shared" si="1095"/>
        <v>3</v>
      </c>
      <c r="T251" s="17"/>
      <c r="U251" s="2">
        <v>33896</v>
      </c>
      <c r="V251" s="17">
        <f t="shared" si="1096"/>
        <v>5</v>
      </c>
      <c r="W251" s="18">
        <f t="shared" ref="W251:W260" si="1120">V251*$C$3</f>
        <v>1.5</v>
      </c>
      <c r="X251" s="2">
        <v>12204</v>
      </c>
      <c r="Y251" s="108">
        <f t="shared" si="1098"/>
        <v>3</v>
      </c>
      <c r="Z251" s="18">
        <f t="shared" si="1086"/>
        <v>3.9169586410635149</v>
      </c>
      <c r="AA251" s="2">
        <v>917.57</v>
      </c>
      <c r="AB251" s="17">
        <f t="shared" si="1099"/>
        <v>0.65000000000009095</v>
      </c>
      <c r="AC251" s="17"/>
      <c r="AD251" s="24">
        <f t="shared" ref="AD251:AD260" si="1121">C251+E251+G251+I251+K251+M251+AF251</f>
        <v>0.43000000000000149</v>
      </c>
      <c r="AE251" s="25">
        <v>140.69999999999999</v>
      </c>
      <c r="AF251" s="24">
        <f t="shared" si="1100"/>
        <v>0</v>
      </c>
      <c r="AG251" s="2"/>
      <c r="AH251" s="29"/>
    </row>
    <row r="252" spans="1:34" s="145" customFormat="1" x14ac:dyDescent="0.25">
      <c r="A252" s="32">
        <v>44842</v>
      </c>
      <c r="B252" s="33"/>
      <c r="C252" s="34">
        <f>(0.28/8)</f>
        <v>3.5000000000000003E-2</v>
      </c>
      <c r="D252" s="66"/>
      <c r="E252" s="66">
        <f>0.16/8</f>
        <v>0.02</v>
      </c>
      <c r="F252" s="33"/>
      <c r="G252" s="66">
        <f>0.66/8</f>
        <v>8.2500000000000004E-2</v>
      </c>
      <c r="H252" s="33"/>
      <c r="I252" s="144">
        <f>0.03/8</f>
        <v>3.7499999999999999E-3</v>
      </c>
      <c r="J252" s="33"/>
      <c r="K252" s="34">
        <f>0.18/8</f>
        <v>2.2499999999999999E-2</v>
      </c>
      <c r="L252" s="33"/>
      <c r="M252" s="34">
        <f>0.15/8</f>
        <v>1.8749999999999999E-2</v>
      </c>
      <c r="N252" s="34">
        <f t="shared" si="1118"/>
        <v>6.3750000000000001E-2</v>
      </c>
      <c r="O252" s="116"/>
      <c r="P252" s="33">
        <f>0.44/8</f>
        <v>5.5E-2</v>
      </c>
      <c r="Q252" s="34">
        <f t="shared" si="1119"/>
        <v>1.59335E-2</v>
      </c>
      <c r="R252" s="116"/>
      <c r="S252" s="129">
        <f>33/8</f>
        <v>4.125</v>
      </c>
      <c r="T252" s="33"/>
      <c r="U252" s="33"/>
      <c r="V252" s="129">
        <f>34/8</f>
        <v>4.25</v>
      </c>
      <c r="W252" s="34">
        <f t="shared" si="1120"/>
        <v>1.2749999999999999</v>
      </c>
      <c r="X252" s="33"/>
      <c r="Y252" s="129">
        <f>27/8</f>
        <v>3.375</v>
      </c>
      <c r="Z252" s="34">
        <f t="shared" si="1086"/>
        <v>4.4065784711964548</v>
      </c>
      <c r="AA252" s="33"/>
      <c r="AB252" s="61">
        <f>3.2/8</f>
        <v>0.4</v>
      </c>
      <c r="AC252" s="33"/>
      <c r="AD252" s="61">
        <f t="shared" si="1121"/>
        <v>0.1825</v>
      </c>
      <c r="AE252" s="61">
        <v>140.69999999999999</v>
      </c>
      <c r="AF252" s="61">
        <f t="shared" si="1100"/>
        <v>0</v>
      </c>
      <c r="AG252" s="33"/>
      <c r="AH252" s="35"/>
    </row>
    <row r="253" spans="1:34" s="145" customFormat="1" x14ac:dyDescent="0.25">
      <c r="A253" s="32">
        <v>44843</v>
      </c>
      <c r="B253" s="33"/>
      <c r="C253" s="34">
        <f t="shared" ref="C253:C258" si="1122">(0.28/8)</f>
        <v>3.5000000000000003E-2</v>
      </c>
      <c r="D253" s="66"/>
      <c r="E253" s="66">
        <f t="shared" ref="E253:E259" si="1123">0.16/8</f>
        <v>0.02</v>
      </c>
      <c r="F253" s="33"/>
      <c r="G253" s="66">
        <f t="shared" ref="G253:G259" si="1124">0.66/8</f>
        <v>8.2500000000000004E-2</v>
      </c>
      <c r="H253" s="33"/>
      <c r="I253" s="144">
        <f t="shared" ref="I253:I259" si="1125">0.03/8</f>
        <v>3.7499999999999999E-3</v>
      </c>
      <c r="J253" s="33"/>
      <c r="K253" s="34">
        <f t="shared" ref="K253:K259" si="1126">0.18/8</f>
        <v>2.2499999999999999E-2</v>
      </c>
      <c r="L253" s="33"/>
      <c r="M253" s="34">
        <f t="shared" ref="M253:M259" si="1127">0.15/8</f>
        <v>1.8749999999999999E-2</v>
      </c>
      <c r="N253" s="34">
        <f t="shared" si="1118"/>
        <v>6.3750000000000001E-2</v>
      </c>
      <c r="O253" s="116"/>
      <c r="P253" s="33">
        <f t="shared" ref="P253:P259" si="1128">0.44/8</f>
        <v>5.5E-2</v>
      </c>
      <c r="Q253" s="34">
        <f t="shared" si="1119"/>
        <v>1.59335E-2</v>
      </c>
      <c r="R253" s="116"/>
      <c r="S253" s="129">
        <f t="shared" ref="S253:S259" si="1129">33/8</f>
        <v>4.125</v>
      </c>
      <c r="T253" s="33"/>
      <c r="U253" s="33"/>
      <c r="V253" s="129">
        <f t="shared" ref="V253:V259" si="1130">34/8</f>
        <v>4.25</v>
      </c>
      <c r="W253" s="34">
        <f t="shared" si="1120"/>
        <v>1.2749999999999999</v>
      </c>
      <c r="X253" s="33"/>
      <c r="Y253" s="129">
        <f t="shared" ref="Y253:Y259" si="1131">27/8</f>
        <v>3.375</v>
      </c>
      <c r="Z253" s="34">
        <f t="shared" si="1086"/>
        <v>4.4065784711964548</v>
      </c>
      <c r="AA253" s="33"/>
      <c r="AB253" s="61">
        <f t="shared" ref="AB253:AB259" si="1132">3.2/8</f>
        <v>0.4</v>
      </c>
      <c r="AC253" s="33"/>
      <c r="AD253" s="61">
        <f t="shared" si="1121"/>
        <v>0.1825</v>
      </c>
      <c r="AE253" s="61">
        <v>140.69999999999999</v>
      </c>
      <c r="AF253" s="61">
        <f t="shared" si="1100"/>
        <v>0</v>
      </c>
      <c r="AG253" s="33"/>
      <c r="AH253" s="35"/>
    </row>
    <row r="254" spans="1:34" s="145" customFormat="1" x14ac:dyDescent="0.25">
      <c r="A254" s="32">
        <v>44844</v>
      </c>
      <c r="B254" s="33"/>
      <c r="C254" s="34">
        <f t="shared" si="1122"/>
        <v>3.5000000000000003E-2</v>
      </c>
      <c r="D254" s="66"/>
      <c r="E254" s="66">
        <f t="shared" si="1123"/>
        <v>0.02</v>
      </c>
      <c r="F254" s="33"/>
      <c r="G254" s="66">
        <f t="shared" si="1124"/>
        <v>8.2500000000000004E-2</v>
      </c>
      <c r="H254" s="33"/>
      <c r="I254" s="144">
        <f t="shared" si="1125"/>
        <v>3.7499999999999999E-3</v>
      </c>
      <c r="J254" s="33"/>
      <c r="K254" s="34">
        <f t="shared" si="1126"/>
        <v>2.2499999999999999E-2</v>
      </c>
      <c r="L254" s="33"/>
      <c r="M254" s="34">
        <f t="shared" si="1127"/>
        <v>1.8749999999999999E-2</v>
      </c>
      <c r="N254" s="34">
        <f t="shared" si="1118"/>
        <v>6.3750000000000001E-2</v>
      </c>
      <c r="O254" s="116"/>
      <c r="P254" s="33">
        <f t="shared" si="1128"/>
        <v>5.5E-2</v>
      </c>
      <c r="Q254" s="34">
        <f t="shared" si="1119"/>
        <v>1.59335E-2</v>
      </c>
      <c r="R254" s="116"/>
      <c r="S254" s="129">
        <f t="shared" si="1129"/>
        <v>4.125</v>
      </c>
      <c r="T254" s="33"/>
      <c r="U254" s="33"/>
      <c r="V254" s="129">
        <f t="shared" si="1130"/>
        <v>4.25</v>
      </c>
      <c r="W254" s="34">
        <f t="shared" si="1120"/>
        <v>1.2749999999999999</v>
      </c>
      <c r="X254" s="33"/>
      <c r="Y254" s="129">
        <f t="shared" si="1131"/>
        <v>3.375</v>
      </c>
      <c r="Z254" s="34">
        <f t="shared" si="1086"/>
        <v>4.4065784711964548</v>
      </c>
      <c r="AA254" s="33"/>
      <c r="AB254" s="61">
        <f t="shared" si="1132"/>
        <v>0.4</v>
      </c>
      <c r="AC254" s="33"/>
      <c r="AD254" s="61">
        <f t="shared" si="1121"/>
        <v>0.1825</v>
      </c>
      <c r="AE254" s="61">
        <v>140.69999999999999</v>
      </c>
      <c r="AF254" s="61">
        <f t="shared" si="1100"/>
        <v>0</v>
      </c>
      <c r="AG254" s="33"/>
      <c r="AH254" s="35"/>
    </row>
    <row r="255" spans="1:34" s="145" customFormat="1" x14ac:dyDescent="0.25">
      <c r="A255" s="32">
        <v>44845</v>
      </c>
      <c r="B255" s="33"/>
      <c r="C255" s="34">
        <f t="shared" si="1122"/>
        <v>3.5000000000000003E-2</v>
      </c>
      <c r="D255" s="66"/>
      <c r="E255" s="66">
        <f t="shared" si="1123"/>
        <v>0.02</v>
      </c>
      <c r="F255" s="33"/>
      <c r="G255" s="66">
        <f t="shared" si="1124"/>
        <v>8.2500000000000004E-2</v>
      </c>
      <c r="H255" s="33"/>
      <c r="I255" s="144">
        <f t="shared" si="1125"/>
        <v>3.7499999999999999E-3</v>
      </c>
      <c r="J255" s="33"/>
      <c r="K255" s="34">
        <f t="shared" si="1126"/>
        <v>2.2499999999999999E-2</v>
      </c>
      <c r="L255" s="33"/>
      <c r="M255" s="34">
        <f t="shared" si="1127"/>
        <v>1.8749999999999999E-2</v>
      </c>
      <c r="N255" s="34">
        <f t="shared" si="1118"/>
        <v>6.3750000000000001E-2</v>
      </c>
      <c r="O255" s="116"/>
      <c r="P255" s="33">
        <f t="shared" si="1128"/>
        <v>5.5E-2</v>
      </c>
      <c r="Q255" s="34">
        <f t="shared" si="1119"/>
        <v>1.59335E-2</v>
      </c>
      <c r="R255" s="116"/>
      <c r="S255" s="129">
        <f t="shared" si="1129"/>
        <v>4.125</v>
      </c>
      <c r="T255" s="33"/>
      <c r="U255" s="33"/>
      <c r="V255" s="129">
        <f t="shared" si="1130"/>
        <v>4.25</v>
      </c>
      <c r="W255" s="34">
        <f t="shared" si="1120"/>
        <v>1.2749999999999999</v>
      </c>
      <c r="X255" s="33"/>
      <c r="Y255" s="129">
        <f t="shared" si="1131"/>
        <v>3.375</v>
      </c>
      <c r="Z255" s="34">
        <f t="shared" si="1086"/>
        <v>4.4065784711964548</v>
      </c>
      <c r="AA255" s="33"/>
      <c r="AB255" s="61">
        <f t="shared" si="1132"/>
        <v>0.4</v>
      </c>
      <c r="AC255" s="33"/>
      <c r="AD255" s="61">
        <f t="shared" si="1121"/>
        <v>0.1825</v>
      </c>
      <c r="AE255" s="61">
        <v>140.69999999999999</v>
      </c>
      <c r="AF255" s="61">
        <f t="shared" si="1100"/>
        <v>0</v>
      </c>
      <c r="AG255" s="33"/>
      <c r="AH255" s="35"/>
    </row>
    <row r="256" spans="1:34" s="145" customFormat="1" x14ac:dyDescent="0.25">
      <c r="A256" s="32">
        <v>44846</v>
      </c>
      <c r="B256" s="33"/>
      <c r="C256" s="34">
        <f t="shared" si="1122"/>
        <v>3.5000000000000003E-2</v>
      </c>
      <c r="D256" s="66"/>
      <c r="E256" s="66">
        <f t="shared" si="1123"/>
        <v>0.02</v>
      </c>
      <c r="F256" s="33"/>
      <c r="G256" s="66">
        <f t="shared" si="1124"/>
        <v>8.2500000000000004E-2</v>
      </c>
      <c r="H256" s="33"/>
      <c r="I256" s="144">
        <f t="shared" si="1125"/>
        <v>3.7499999999999999E-3</v>
      </c>
      <c r="J256" s="33"/>
      <c r="K256" s="34">
        <f t="shared" si="1126"/>
        <v>2.2499999999999999E-2</v>
      </c>
      <c r="L256" s="33"/>
      <c r="M256" s="34">
        <f t="shared" si="1127"/>
        <v>1.8749999999999999E-2</v>
      </c>
      <c r="N256" s="34">
        <f t="shared" si="1118"/>
        <v>6.3750000000000001E-2</v>
      </c>
      <c r="O256" s="116"/>
      <c r="P256" s="33">
        <f t="shared" si="1128"/>
        <v>5.5E-2</v>
      </c>
      <c r="Q256" s="34">
        <f t="shared" si="1119"/>
        <v>1.59335E-2</v>
      </c>
      <c r="R256" s="116"/>
      <c r="S256" s="129">
        <f t="shared" si="1129"/>
        <v>4.125</v>
      </c>
      <c r="T256" s="33"/>
      <c r="U256" s="33"/>
      <c r="V256" s="129">
        <f t="shared" si="1130"/>
        <v>4.25</v>
      </c>
      <c r="W256" s="34">
        <f t="shared" si="1120"/>
        <v>1.2749999999999999</v>
      </c>
      <c r="X256" s="33"/>
      <c r="Y256" s="129">
        <f t="shared" si="1131"/>
        <v>3.375</v>
      </c>
      <c r="Z256" s="34">
        <f t="shared" si="1086"/>
        <v>4.4065784711964548</v>
      </c>
      <c r="AA256" s="33"/>
      <c r="AB256" s="61">
        <f t="shared" si="1132"/>
        <v>0.4</v>
      </c>
      <c r="AC256" s="33"/>
      <c r="AD256" s="61">
        <f t="shared" si="1121"/>
        <v>0.1825</v>
      </c>
      <c r="AE256" s="61">
        <v>140.69999999999999</v>
      </c>
      <c r="AF256" s="61">
        <f t="shared" si="1100"/>
        <v>0</v>
      </c>
      <c r="AG256" s="33"/>
      <c r="AH256" s="35"/>
    </row>
    <row r="257" spans="1:34" s="145" customFormat="1" x14ac:dyDescent="0.25">
      <c r="A257" s="32">
        <v>44847</v>
      </c>
      <c r="B257" s="33"/>
      <c r="C257" s="34">
        <f t="shared" si="1122"/>
        <v>3.5000000000000003E-2</v>
      </c>
      <c r="D257" s="66"/>
      <c r="E257" s="66">
        <f t="shared" si="1123"/>
        <v>0.02</v>
      </c>
      <c r="F257" s="33"/>
      <c r="G257" s="66">
        <f t="shared" si="1124"/>
        <v>8.2500000000000004E-2</v>
      </c>
      <c r="H257" s="33"/>
      <c r="I257" s="144">
        <f t="shared" si="1125"/>
        <v>3.7499999999999999E-3</v>
      </c>
      <c r="J257" s="33"/>
      <c r="K257" s="34">
        <f t="shared" si="1126"/>
        <v>2.2499999999999999E-2</v>
      </c>
      <c r="L257" s="33"/>
      <c r="M257" s="34">
        <f t="shared" si="1127"/>
        <v>1.8749999999999999E-2</v>
      </c>
      <c r="N257" s="34">
        <f t="shared" si="1118"/>
        <v>6.3750000000000001E-2</v>
      </c>
      <c r="O257" s="116"/>
      <c r="P257" s="33">
        <f t="shared" si="1128"/>
        <v>5.5E-2</v>
      </c>
      <c r="Q257" s="34">
        <f t="shared" si="1119"/>
        <v>1.59335E-2</v>
      </c>
      <c r="R257" s="116"/>
      <c r="S257" s="129">
        <f t="shared" si="1129"/>
        <v>4.125</v>
      </c>
      <c r="T257" s="33"/>
      <c r="U257" s="33"/>
      <c r="V257" s="129">
        <f t="shared" si="1130"/>
        <v>4.25</v>
      </c>
      <c r="W257" s="34">
        <f t="shared" si="1120"/>
        <v>1.2749999999999999</v>
      </c>
      <c r="X257" s="33"/>
      <c r="Y257" s="129">
        <f t="shared" si="1131"/>
        <v>3.375</v>
      </c>
      <c r="Z257" s="34">
        <f t="shared" si="1086"/>
        <v>4.4065784711964548</v>
      </c>
      <c r="AA257" s="33"/>
      <c r="AB257" s="61">
        <f t="shared" si="1132"/>
        <v>0.4</v>
      </c>
      <c r="AC257" s="33"/>
      <c r="AD257" s="61">
        <f t="shared" si="1121"/>
        <v>0.1825</v>
      </c>
      <c r="AE257" s="61">
        <v>140.69999999999999</v>
      </c>
      <c r="AF257" s="61">
        <f t="shared" si="1100"/>
        <v>0</v>
      </c>
      <c r="AG257" s="33"/>
      <c r="AH257" s="35"/>
    </row>
    <row r="258" spans="1:34" s="145" customFormat="1" x14ac:dyDescent="0.25">
      <c r="A258" s="32">
        <v>44848</v>
      </c>
      <c r="B258" s="33"/>
      <c r="C258" s="34">
        <f t="shared" si="1122"/>
        <v>3.5000000000000003E-2</v>
      </c>
      <c r="D258" s="66"/>
      <c r="E258" s="66">
        <f t="shared" si="1123"/>
        <v>0.02</v>
      </c>
      <c r="F258" s="33"/>
      <c r="G258" s="66">
        <f t="shared" si="1124"/>
        <v>8.2500000000000004E-2</v>
      </c>
      <c r="H258" s="33"/>
      <c r="I258" s="144">
        <f t="shared" si="1125"/>
        <v>3.7499999999999999E-3</v>
      </c>
      <c r="J258" s="33"/>
      <c r="K258" s="34">
        <f t="shared" si="1126"/>
        <v>2.2499999999999999E-2</v>
      </c>
      <c r="L258" s="33"/>
      <c r="M258" s="34">
        <f t="shared" si="1127"/>
        <v>1.8749999999999999E-2</v>
      </c>
      <c r="N258" s="34">
        <f t="shared" si="1118"/>
        <v>6.3750000000000001E-2</v>
      </c>
      <c r="O258" s="116"/>
      <c r="P258" s="33">
        <f t="shared" si="1128"/>
        <v>5.5E-2</v>
      </c>
      <c r="Q258" s="34">
        <f t="shared" si="1119"/>
        <v>1.59335E-2</v>
      </c>
      <c r="R258" s="116"/>
      <c r="S258" s="129">
        <f t="shared" si="1129"/>
        <v>4.125</v>
      </c>
      <c r="T258" s="33"/>
      <c r="U258" s="33"/>
      <c r="V258" s="129">
        <f t="shared" si="1130"/>
        <v>4.25</v>
      </c>
      <c r="W258" s="34">
        <f t="shared" si="1120"/>
        <v>1.2749999999999999</v>
      </c>
      <c r="X258" s="33"/>
      <c r="Y258" s="129">
        <f t="shared" si="1131"/>
        <v>3.375</v>
      </c>
      <c r="Z258" s="34">
        <f t="shared" si="1086"/>
        <v>4.4065784711964548</v>
      </c>
      <c r="AA258" s="33"/>
      <c r="AB258" s="61">
        <f t="shared" si="1132"/>
        <v>0.4</v>
      </c>
      <c r="AC258" s="33"/>
      <c r="AD258" s="61">
        <f t="shared" si="1121"/>
        <v>0.1825</v>
      </c>
      <c r="AE258" s="61">
        <v>140.69999999999999</v>
      </c>
      <c r="AF258" s="61">
        <f t="shared" si="1100"/>
        <v>0</v>
      </c>
      <c r="AG258" s="33"/>
      <c r="AH258" s="35"/>
    </row>
    <row r="259" spans="1:34" s="145" customFormat="1" x14ac:dyDescent="0.25">
      <c r="A259" s="32">
        <v>44849</v>
      </c>
      <c r="B259" s="33">
        <v>23.65</v>
      </c>
      <c r="C259" s="34">
        <f>(0.28/8)</f>
        <v>3.5000000000000003E-2</v>
      </c>
      <c r="D259" s="66">
        <v>8.4499999999999993</v>
      </c>
      <c r="E259" s="66">
        <f t="shared" si="1123"/>
        <v>0.02</v>
      </c>
      <c r="F259" s="33">
        <v>80.08</v>
      </c>
      <c r="G259" s="66">
        <f t="shared" si="1124"/>
        <v>8.2500000000000004E-2</v>
      </c>
      <c r="H259" s="33">
        <v>2.79</v>
      </c>
      <c r="I259" s="144">
        <f t="shared" si="1125"/>
        <v>3.7499999999999999E-3</v>
      </c>
      <c r="J259" s="33">
        <v>82.96</v>
      </c>
      <c r="K259" s="34">
        <f t="shared" si="1126"/>
        <v>2.2499999999999999E-2</v>
      </c>
      <c r="L259" s="33">
        <v>54.19</v>
      </c>
      <c r="M259" s="34">
        <f t="shared" si="1127"/>
        <v>1.8749999999999999E-2</v>
      </c>
      <c r="N259" s="34">
        <f t="shared" si="1118"/>
        <v>6.3750000000000001E-2</v>
      </c>
      <c r="O259" s="116">
        <v>69462</v>
      </c>
      <c r="P259" s="33">
        <f t="shared" si="1128"/>
        <v>5.5E-2</v>
      </c>
      <c r="Q259" s="34">
        <f t="shared" si="1119"/>
        <v>1.59335E-2</v>
      </c>
      <c r="R259" s="116">
        <v>1715</v>
      </c>
      <c r="S259" s="129">
        <f t="shared" si="1129"/>
        <v>4.125</v>
      </c>
      <c r="T259" s="33"/>
      <c r="U259" s="33">
        <v>33930</v>
      </c>
      <c r="V259" s="129">
        <f t="shared" si="1130"/>
        <v>4.25</v>
      </c>
      <c r="W259" s="34">
        <f t="shared" si="1120"/>
        <v>1.2749999999999999</v>
      </c>
      <c r="X259" s="33">
        <v>12231</v>
      </c>
      <c r="Y259" s="129">
        <f t="shared" si="1131"/>
        <v>3.375</v>
      </c>
      <c r="Z259" s="34">
        <f t="shared" si="1086"/>
        <v>4.4065784711964548</v>
      </c>
      <c r="AA259" s="33">
        <v>920.73</v>
      </c>
      <c r="AB259" s="61">
        <f t="shared" si="1132"/>
        <v>0.4</v>
      </c>
      <c r="AC259" s="33"/>
      <c r="AD259" s="61">
        <f t="shared" si="1121"/>
        <v>0.1825</v>
      </c>
      <c r="AE259" s="61">
        <v>140.69999999999999</v>
      </c>
      <c r="AF259" s="61">
        <f t="shared" si="1100"/>
        <v>0</v>
      </c>
      <c r="AG259" s="33"/>
      <c r="AH259" s="35"/>
    </row>
    <row r="260" spans="1:34" x14ac:dyDescent="0.25">
      <c r="A260" s="5">
        <v>44850</v>
      </c>
      <c r="B260" s="2">
        <v>23.69</v>
      </c>
      <c r="C260" s="18">
        <f>B260-B259</f>
        <v>4.00000000000027E-2</v>
      </c>
      <c r="D260" s="67">
        <v>8.4499999999999993</v>
      </c>
      <c r="E260" s="107">
        <f t="shared" ref="E260:E275" si="1133">D260-D259</f>
        <v>0</v>
      </c>
      <c r="F260" s="2">
        <v>80.17</v>
      </c>
      <c r="G260" s="107">
        <f t="shared" ref="G260:G275" si="1134">F260-F259</f>
        <v>9.0000000000003411E-2</v>
      </c>
      <c r="H260" s="2">
        <v>2.79</v>
      </c>
      <c r="I260" s="107">
        <f t="shared" ref="I260:I275" si="1135">H260-H259</f>
        <v>0</v>
      </c>
      <c r="J260" s="2">
        <v>83.07</v>
      </c>
      <c r="K260" s="18">
        <f t="shared" ref="K260:K275" si="1136">J260-J259</f>
        <v>0.10999999999999943</v>
      </c>
      <c r="L260" s="2">
        <v>54.28</v>
      </c>
      <c r="M260" s="18">
        <f t="shared" ref="M260" si="1137">L260-L259</f>
        <v>9.0000000000003411E-2</v>
      </c>
      <c r="N260" s="18">
        <f t="shared" si="1118"/>
        <v>0</v>
      </c>
      <c r="O260" s="114">
        <v>69472</v>
      </c>
      <c r="P260" s="68">
        <f t="shared" ref="P260" si="1138">O260-O259</f>
        <v>10</v>
      </c>
      <c r="Q260" s="18">
        <f t="shared" si="1119"/>
        <v>2.8970000000000002</v>
      </c>
      <c r="R260" s="114">
        <v>1717</v>
      </c>
      <c r="S260" s="68">
        <f t="shared" ref="S260" si="1139">R260-R259</f>
        <v>2</v>
      </c>
      <c r="T260" s="17"/>
      <c r="U260" s="2">
        <v>33937</v>
      </c>
      <c r="V260" s="17">
        <f t="shared" ref="V260" si="1140">U260-U259</f>
        <v>7</v>
      </c>
      <c r="W260" s="18">
        <f t="shared" si="1120"/>
        <v>2.1</v>
      </c>
      <c r="X260" s="2">
        <v>12232</v>
      </c>
      <c r="Y260" s="108">
        <f t="shared" ref="Y260" si="1141">X260-X259</f>
        <v>1</v>
      </c>
      <c r="Z260" s="18">
        <f t="shared" ref="Z260" si="1142">Y260*$C$6*$G$4</f>
        <v>1.3056528803545051</v>
      </c>
      <c r="AA260" s="2">
        <v>921.25</v>
      </c>
      <c r="AB260" s="17">
        <f t="shared" ref="AB260" si="1143">AA260-AA259</f>
        <v>0.51999999999998181</v>
      </c>
      <c r="AC260" s="17"/>
      <c r="AD260" s="24">
        <f t="shared" si="1121"/>
        <v>0.33000000000000895</v>
      </c>
      <c r="AE260" s="25">
        <v>140.69999999999999</v>
      </c>
      <c r="AF260" s="24">
        <f t="shared" ref="AF260:AF275" si="1144">AE260-AE259</f>
        <v>0</v>
      </c>
      <c r="AG260" s="2"/>
      <c r="AH260" s="29"/>
    </row>
    <row r="261" spans="1:34" x14ac:dyDescent="0.25">
      <c r="A261" s="5">
        <v>44851</v>
      </c>
      <c r="B261" s="2">
        <v>23.73</v>
      </c>
      <c r="C261" s="18">
        <f>B261-B260</f>
        <v>3.9999999999999147E-2</v>
      </c>
      <c r="D261" s="67">
        <v>8.4499999999999993</v>
      </c>
      <c r="E261" s="107">
        <f t="shared" si="1133"/>
        <v>0</v>
      </c>
      <c r="F261" s="2">
        <v>80.260000000000005</v>
      </c>
      <c r="G261" s="107">
        <f t="shared" si="1134"/>
        <v>9.0000000000003411E-2</v>
      </c>
      <c r="H261" s="2">
        <v>2.79</v>
      </c>
      <c r="I261" s="107">
        <f t="shared" si="1135"/>
        <v>0</v>
      </c>
      <c r="J261" s="2">
        <v>83.19</v>
      </c>
      <c r="K261" s="18">
        <f t="shared" si="1136"/>
        <v>0.12000000000000455</v>
      </c>
      <c r="L261" s="2">
        <v>54.36</v>
      </c>
      <c r="M261" s="18">
        <f t="shared" ref="M261" si="1145">L261-L260</f>
        <v>7.9999999999998295E-2</v>
      </c>
      <c r="N261" s="18">
        <f t="shared" ref="N261" si="1146">G261-M261</f>
        <v>1.0000000000005116E-2</v>
      </c>
      <c r="O261" s="114">
        <v>69481</v>
      </c>
      <c r="P261" s="68">
        <f t="shared" ref="P261" si="1147">O261-O260</f>
        <v>9</v>
      </c>
      <c r="Q261" s="18">
        <f t="shared" ref="Q261" si="1148">P261*$C$2</f>
        <v>2.6073</v>
      </c>
      <c r="R261" s="114">
        <v>1720</v>
      </c>
      <c r="S261" s="68">
        <f t="shared" ref="S261" si="1149">R261-R260</f>
        <v>3</v>
      </c>
      <c r="T261" s="17"/>
      <c r="U261" s="2">
        <v>33943</v>
      </c>
      <c r="V261" s="17">
        <f t="shared" ref="V261" si="1150">U261-U260</f>
        <v>6</v>
      </c>
      <c r="W261" s="18">
        <f t="shared" ref="W261" si="1151">V261*$C$3</f>
        <v>1.7999999999999998</v>
      </c>
      <c r="X261" s="2">
        <v>12235</v>
      </c>
      <c r="Y261" s="108">
        <f t="shared" ref="Y261:Y262" si="1152">X261-X260</f>
        <v>3</v>
      </c>
      <c r="Z261" s="18">
        <f t="shared" ref="Z261:Z262" si="1153">Y261*$C$6*$G$4</f>
        <v>3.9169586410635149</v>
      </c>
      <c r="AA261" s="2">
        <v>921.87</v>
      </c>
      <c r="AB261" s="17">
        <f t="shared" ref="AB261" si="1154">AA261-AA260</f>
        <v>0.62000000000000455</v>
      </c>
      <c r="AC261" s="17"/>
      <c r="AD261" s="24">
        <f t="shared" ref="AD261" si="1155">C261+E261+G261+I261+K261+M261+AF261</f>
        <v>0.3300000000000054</v>
      </c>
      <c r="AE261" s="25">
        <v>140.69999999999999</v>
      </c>
      <c r="AF261" s="24">
        <f t="shared" si="1144"/>
        <v>0</v>
      </c>
      <c r="AG261" s="2"/>
      <c r="AH261" s="29"/>
    </row>
    <row r="262" spans="1:34" x14ac:dyDescent="0.25">
      <c r="A262" s="5">
        <v>44852</v>
      </c>
      <c r="B262" s="2">
        <v>23.75</v>
      </c>
      <c r="C262" s="18">
        <f t="shared" ref="C262:C275" si="1156">B262-B261</f>
        <v>1.9999999999999574E-2</v>
      </c>
      <c r="D262" s="20">
        <v>8.4700000000000006</v>
      </c>
      <c r="E262" s="107">
        <f t="shared" si="1133"/>
        <v>2.000000000000135E-2</v>
      </c>
      <c r="F262" s="2">
        <v>80.400000000000006</v>
      </c>
      <c r="G262" s="107">
        <f t="shared" si="1134"/>
        <v>0.14000000000000057</v>
      </c>
      <c r="H262" s="2">
        <v>2.79</v>
      </c>
      <c r="I262" s="107">
        <f t="shared" si="1135"/>
        <v>0</v>
      </c>
      <c r="J262" s="2">
        <v>83.38</v>
      </c>
      <c r="K262" s="18">
        <f t="shared" si="1136"/>
        <v>0.18999999999999773</v>
      </c>
      <c r="L262" s="2">
        <v>54.41</v>
      </c>
      <c r="M262" s="18">
        <f t="shared" ref="M262:M263" si="1157">L262-L261</f>
        <v>4.9999999999997158E-2</v>
      </c>
      <c r="N262" s="18">
        <f t="shared" ref="N262:N263" si="1158">G262-M262</f>
        <v>9.0000000000003411E-2</v>
      </c>
      <c r="O262" s="114">
        <v>69490</v>
      </c>
      <c r="P262" s="68">
        <f t="shared" ref="P262" si="1159">O262-O261</f>
        <v>9</v>
      </c>
      <c r="Q262" s="18">
        <f t="shared" ref="Q262" si="1160">P262*$C$2</f>
        <v>2.6073</v>
      </c>
      <c r="R262" s="114">
        <v>1724</v>
      </c>
      <c r="S262" s="68">
        <f t="shared" ref="S262" si="1161">R262-R261</f>
        <v>4</v>
      </c>
      <c r="T262" s="17"/>
      <c r="U262" s="2">
        <v>33947</v>
      </c>
      <c r="V262" s="17">
        <f t="shared" ref="V262" si="1162">U262-U261</f>
        <v>4</v>
      </c>
      <c r="W262" s="18">
        <f t="shared" ref="W262" si="1163">V262*$C$3</f>
        <v>1.2</v>
      </c>
      <c r="X262" s="2">
        <v>12238</v>
      </c>
      <c r="Y262" s="108">
        <f t="shared" si="1152"/>
        <v>3</v>
      </c>
      <c r="Z262" s="18">
        <f t="shared" si="1153"/>
        <v>3.9169586410635149</v>
      </c>
      <c r="AA262" s="2">
        <v>922.4</v>
      </c>
      <c r="AB262" s="17">
        <f t="shared" ref="AB262" si="1164">AA262-AA261</f>
        <v>0.52999999999997272</v>
      </c>
      <c r="AC262" s="17"/>
      <c r="AD262" s="24">
        <f t="shared" ref="AD262" si="1165">C262+E262+G262+I262+K262+M262+AF262</f>
        <v>0.41999999999999638</v>
      </c>
      <c r="AE262" s="25">
        <v>140.69999999999999</v>
      </c>
      <c r="AF262" s="24">
        <f t="shared" si="1144"/>
        <v>0</v>
      </c>
      <c r="AG262" s="2"/>
      <c r="AH262" s="29"/>
    </row>
    <row r="263" spans="1:34" x14ac:dyDescent="0.25">
      <c r="A263" s="5">
        <v>44853</v>
      </c>
      <c r="B263" s="2">
        <v>23.81</v>
      </c>
      <c r="C263" s="18">
        <f t="shared" si="1156"/>
        <v>5.9999999999998721E-2</v>
      </c>
      <c r="D263" s="67">
        <v>8.48</v>
      </c>
      <c r="E263" s="107">
        <f t="shared" si="1133"/>
        <v>9.9999999999997868E-3</v>
      </c>
      <c r="F263" s="2">
        <v>80.67</v>
      </c>
      <c r="G263" s="107">
        <f t="shared" si="1134"/>
        <v>0.26999999999999602</v>
      </c>
      <c r="H263" s="2">
        <v>2.79</v>
      </c>
      <c r="I263" s="107">
        <f t="shared" si="1135"/>
        <v>0</v>
      </c>
      <c r="J263" s="2">
        <v>83.47</v>
      </c>
      <c r="K263" s="18">
        <f t="shared" si="1136"/>
        <v>9.0000000000003411E-2</v>
      </c>
      <c r="L263" s="2">
        <v>54.6</v>
      </c>
      <c r="M263" s="18">
        <f t="shared" si="1157"/>
        <v>0.19000000000000483</v>
      </c>
      <c r="N263" s="18">
        <f t="shared" si="1158"/>
        <v>7.9999999999991189E-2</v>
      </c>
      <c r="O263" s="114">
        <v>69501</v>
      </c>
      <c r="P263" s="68">
        <f t="shared" ref="P263" si="1166">O263-O262</f>
        <v>11</v>
      </c>
      <c r="Q263" s="18">
        <f t="shared" ref="Q263" si="1167">P263*$C$2</f>
        <v>3.1867000000000001</v>
      </c>
      <c r="R263" s="114">
        <v>1728</v>
      </c>
      <c r="S263" s="68">
        <f t="shared" ref="S263" si="1168">R263-R262</f>
        <v>4</v>
      </c>
      <c r="T263" s="17"/>
      <c r="U263" s="2">
        <v>33954</v>
      </c>
      <c r="V263" s="17">
        <f t="shared" ref="V263" si="1169">U263-U262</f>
        <v>7</v>
      </c>
      <c r="W263" s="18">
        <f t="shared" ref="W263" si="1170">V263*$C$3</f>
        <v>2.1</v>
      </c>
      <c r="X263" s="2">
        <v>12242</v>
      </c>
      <c r="Y263" s="108">
        <f t="shared" ref="Y263" si="1171">X263-X262</f>
        <v>4</v>
      </c>
      <c r="Z263" s="18">
        <f t="shared" ref="Z263" si="1172">Y263*$C$6*$G$4</f>
        <v>5.2226115214180204</v>
      </c>
      <c r="AA263" s="2">
        <v>923.33</v>
      </c>
      <c r="AB263" s="17">
        <f t="shared" ref="AB263" si="1173">AA263-AA262</f>
        <v>0.93000000000006366</v>
      </c>
      <c r="AC263" s="17"/>
      <c r="AD263" s="24">
        <f t="shared" ref="AD263" si="1174">C263+E263+G263+I263+K263+M263+AF263</f>
        <v>0.62000000000000277</v>
      </c>
      <c r="AE263" s="25">
        <v>140.69999999999999</v>
      </c>
      <c r="AF263" s="24">
        <f t="shared" si="1144"/>
        <v>0</v>
      </c>
      <c r="AG263" s="2"/>
      <c r="AH263" s="29"/>
    </row>
    <row r="264" spans="1:34" x14ac:dyDescent="0.25">
      <c r="A264" s="5">
        <v>44854</v>
      </c>
      <c r="B264" s="2">
        <v>23.82</v>
      </c>
      <c r="C264" s="18">
        <f t="shared" si="1156"/>
        <v>1.0000000000001563E-2</v>
      </c>
      <c r="D264" s="67">
        <v>8.49</v>
      </c>
      <c r="E264" s="107">
        <f t="shared" si="1133"/>
        <v>9.9999999999997868E-3</v>
      </c>
      <c r="F264" s="2">
        <v>80.75</v>
      </c>
      <c r="G264" s="107">
        <f t="shared" si="1134"/>
        <v>7.9999999999998295E-2</v>
      </c>
      <c r="H264" s="2">
        <v>2.79</v>
      </c>
      <c r="I264" s="107">
        <f t="shared" si="1135"/>
        <v>0</v>
      </c>
      <c r="J264" s="2">
        <v>83.58</v>
      </c>
      <c r="K264" s="18">
        <f t="shared" si="1136"/>
        <v>0.10999999999999943</v>
      </c>
      <c r="L264" s="2">
        <v>54.67</v>
      </c>
      <c r="M264" s="18">
        <f t="shared" ref="M264" si="1175">L264-L263</f>
        <v>7.0000000000000284E-2</v>
      </c>
      <c r="N264" s="18">
        <f t="shared" ref="N264" si="1176">G264-M264</f>
        <v>9.9999999999980105E-3</v>
      </c>
      <c r="O264" s="114">
        <v>69511</v>
      </c>
      <c r="P264" s="68">
        <f t="shared" ref="P264" si="1177">O264-O263</f>
        <v>10</v>
      </c>
      <c r="Q264" s="18">
        <f t="shared" ref="Q264" si="1178">P264*$C$2</f>
        <v>2.8970000000000002</v>
      </c>
      <c r="R264" s="114">
        <v>1732</v>
      </c>
      <c r="S264" s="68">
        <f t="shared" ref="S264" si="1179">R264-R263</f>
        <v>4</v>
      </c>
      <c r="T264" s="17"/>
      <c r="U264" s="2">
        <v>33959</v>
      </c>
      <c r="V264" s="17">
        <f t="shared" ref="V264" si="1180">U264-U263</f>
        <v>5</v>
      </c>
      <c r="W264" s="18">
        <f t="shared" ref="W264" si="1181">V264*$C$3</f>
        <v>1.5</v>
      </c>
      <c r="X264" s="2">
        <v>12245</v>
      </c>
      <c r="Y264" s="108">
        <f t="shared" ref="Y264" si="1182">X264-X263</f>
        <v>3</v>
      </c>
      <c r="Z264" s="18">
        <f t="shared" ref="Z264" si="1183">Y264*$C$6*$G$4</f>
        <v>3.9169586410635149</v>
      </c>
      <c r="AA264" s="2">
        <v>923.8</v>
      </c>
      <c r="AB264" s="17">
        <f t="shared" ref="AB264" si="1184">AA264-AA263</f>
        <v>0.4699999999999136</v>
      </c>
      <c r="AC264" s="17"/>
      <c r="AD264" s="24">
        <f t="shared" ref="AD264" si="1185">C264+E264+G264+I264+K264+M264+AF264</f>
        <v>0.27999999999999936</v>
      </c>
      <c r="AE264" s="25">
        <v>140.69999999999999</v>
      </c>
      <c r="AF264" s="24">
        <f t="shared" si="1144"/>
        <v>0</v>
      </c>
      <c r="AG264" s="2"/>
      <c r="AH264" s="29"/>
    </row>
    <row r="265" spans="1:34" x14ac:dyDescent="0.25">
      <c r="A265" s="5">
        <v>44855</v>
      </c>
      <c r="B265" s="2">
        <v>23.88</v>
      </c>
      <c r="C265" s="18">
        <f t="shared" si="1156"/>
        <v>5.9999999999998721E-2</v>
      </c>
      <c r="D265" s="67">
        <v>8.5</v>
      </c>
      <c r="E265" s="107">
        <f t="shared" si="1133"/>
        <v>9.9999999999997868E-3</v>
      </c>
      <c r="F265" s="2">
        <v>80.95</v>
      </c>
      <c r="G265" s="107">
        <f t="shared" si="1134"/>
        <v>0.20000000000000284</v>
      </c>
      <c r="H265" s="2">
        <v>2.8</v>
      </c>
      <c r="I265" s="107">
        <f t="shared" si="1135"/>
        <v>9.9999999999997868E-3</v>
      </c>
      <c r="J265" s="2">
        <v>83.72</v>
      </c>
      <c r="K265" s="18">
        <f t="shared" si="1136"/>
        <v>0.14000000000000057</v>
      </c>
      <c r="L265" s="2">
        <v>54.76</v>
      </c>
      <c r="M265" s="18">
        <f t="shared" ref="M265" si="1186">L265-L264</f>
        <v>8.9999999999996305E-2</v>
      </c>
      <c r="N265" s="18">
        <f t="shared" ref="N265" si="1187">G265-M265</f>
        <v>0.11000000000000654</v>
      </c>
      <c r="O265" s="114">
        <v>69522</v>
      </c>
      <c r="P265" s="68">
        <f t="shared" ref="P265" si="1188">O265-O264</f>
        <v>11</v>
      </c>
      <c r="Q265" s="18">
        <f t="shared" ref="Q265" si="1189">P265*$C$2</f>
        <v>3.1867000000000001</v>
      </c>
      <c r="R265" s="114">
        <v>1735</v>
      </c>
      <c r="S265" s="68">
        <f t="shared" ref="S265" si="1190">R265-R264</f>
        <v>3</v>
      </c>
      <c r="T265" s="17"/>
      <c r="U265" s="2">
        <v>33964</v>
      </c>
      <c r="V265" s="17">
        <f t="shared" ref="V265" si="1191">U265-U264</f>
        <v>5</v>
      </c>
      <c r="W265" s="18">
        <f t="shared" ref="W265" si="1192">V265*$C$3</f>
        <v>1.5</v>
      </c>
      <c r="X265" s="2">
        <v>12250</v>
      </c>
      <c r="Y265" s="108">
        <f t="shared" ref="Y265" si="1193">X265-X264</f>
        <v>5</v>
      </c>
      <c r="Z265" s="18">
        <f t="shared" ref="Z265" si="1194">Y265*$C$6*$G$4</f>
        <v>6.5282644017725255</v>
      </c>
      <c r="AA265" s="2">
        <v>924.47</v>
      </c>
      <c r="AB265" s="17">
        <f t="shared" ref="AB265" si="1195">AA265-AA264</f>
        <v>0.67000000000007276</v>
      </c>
      <c r="AC265" s="17"/>
      <c r="AD265" s="24">
        <f t="shared" ref="AD265" si="1196">C265+E265+G265+I265+K265+M265+AF265</f>
        <v>0.50999999999999801</v>
      </c>
      <c r="AE265" s="25">
        <v>140.69999999999999</v>
      </c>
      <c r="AF265" s="24">
        <f t="shared" si="1144"/>
        <v>0</v>
      </c>
      <c r="AG265" s="2"/>
      <c r="AH265" s="29"/>
    </row>
    <row r="266" spans="1:34" x14ac:dyDescent="0.25">
      <c r="A266" s="5">
        <v>44856</v>
      </c>
      <c r="B266" s="2">
        <v>24.02</v>
      </c>
      <c r="C266" s="18">
        <f t="shared" si="1156"/>
        <v>0.14000000000000057</v>
      </c>
      <c r="D266" s="67">
        <v>8.5299999999999994</v>
      </c>
      <c r="E266" s="107">
        <f t="shared" si="1133"/>
        <v>2.9999999999999361E-2</v>
      </c>
      <c r="F266" s="2">
        <v>81.05</v>
      </c>
      <c r="G266" s="107">
        <f t="shared" si="1134"/>
        <v>9.9999999999994316E-2</v>
      </c>
      <c r="H266" s="2">
        <v>2.81</v>
      </c>
      <c r="I266" s="107">
        <f t="shared" si="1135"/>
        <v>1.0000000000000231E-2</v>
      </c>
      <c r="J266" s="2">
        <v>83.87</v>
      </c>
      <c r="K266" s="18">
        <f t="shared" si="1136"/>
        <v>0.15000000000000568</v>
      </c>
      <c r="L266" s="2">
        <v>54.84</v>
      </c>
      <c r="M266" s="18">
        <f t="shared" ref="M266" si="1197">L266-L265</f>
        <v>8.00000000000054E-2</v>
      </c>
      <c r="N266" s="18">
        <f t="shared" ref="N266" si="1198">G266-M266</f>
        <v>1.9999999999988916E-2</v>
      </c>
      <c r="O266" s="114">
        <v>69534</v>
      </c>
      <c r="P266" s="68">
        <f t="shared" ref="P266" si="1199">O266-O265</f>
        <v>12</v>
      </c>
      <c r="Q266" s="18">
        <f t="shared" ref="Q266" si="1200">P266*$C$2</f>
        <v>3.4763999999999999</v>
      </c>
      <c r="R266" s="114">
        <v>1740</v>
      </c>
      <c r="S266" s="68">
        <f t="shared" ref="S266" si="1201">R266-R265</f>
        <v>5</v>
      </c>
      <c r="T266" s="17"/>
      <c r="U266" s="2">
        <v>33971</v>
      </c>
      <c r="V266" s="17">
        <f t="shared" ref="V266" si="1202">U266-U265</f>
        <v>7</v>
      </c>
      <c r="W266" s="18">
        <f t="shared" ref="W266" si="1203">V266*$C$3</f>
        <v>2.1</v>
      </c>
      <c r="X266" s="2">
        <v>12255</v>
      </c>
      <c r="Y266" s="108">
        <f t="shared" ref="Y266" si="1204">X266-X265</f>
        <v>5</v>
      </c>
      <c r="Z266" s="18">
        <f t="shared" ref="Z266" si="1205">Y266*$C$6*$G$4</f>
        <v>6.5282644017725255</v>
      </c>
      <c r="AA266" s="2">
        <v>925.16</v>
      </c>
      <c r="AB266" s="17">
        <f t="shared" ref="AB266" si="1206">AA266-AA265</f>
        <v>0.68999999999994088</v>
      </c>
      <c r="AC266" s="17"/>
      <c r="AD266" s="24">
        <f t="shared" ref="AD266" si="1207">C266+E266+G266+I266+K266+M266+AF266</f>
        <v>0.51000000000000556</v>
      </c>
      <c r="AE266" s="25">
        <v>140.69999999999999</v>
      </c>
      <c r="AF266" s="24">
        <f t="shared" si="1144"/>
        <v>0</v>
      </c>
      <c r="AG266" s="2"/>
      <c r="AH266" s="29"/>
    </row>
    <row r="267" spans="1:34" x14ac:dyDescent="0.25">
      <c r="A267" s="5">
        <v>44857</v>
      </c>
      <c r="B267" s="2">
        <v>24.12</v>
      </c>
      <c r="C267" s="18">
        <f t="shared" si="1156"/>
        <v>0.10000000000000142</v>
      </c>
      <c r="D267" s="67">
        <v>8.58</v>
      </c>
      <c r="E267" s="107">
        <f t="shared" si="1133"/>
        <v>5.0000000000000711E-2</v>
      </c>
      <c r="F267" s="2">
        <v>81.400000000000006</v>
      </c>
      <c r="G267" s="107">
        <f t="shared" si="1134"/>
        <v>0.35000000000000853</v>
      </c>
      <c r="H267" s="2">
        <v>2.82</v>
      </c>
      <c r="I267" s="107">
        <f t="shared" si="1135"/>
        <v>9.9999999999997868E-3</v>
      </c>
      <c r="J267" s="2">
        <v>84.04</v>
      </c>
      <c r="K267" s="18">
        <f t="shared" si="1136"/>
        <v>0.17000000000000171</v>
      </c>
      <c r="L267" s="2">
        <v>55.07</v>
      </c>
      <c r="M267" s="18">
        <f t="shared" ref="M267" si="1208">L267-L266</f>
        <v>0.22999999999999687</v>
      </c>
      <c r="N267" s="18">
        <f t="shared" ref="N267" si="1209">G267-M267</f>
        <v>0.12000000000001165</v>
      </c>
      <c r="O267" s="114">
        <v>69546</v>
      </c>
      <c r="P267" s="68">
        <f t="shared" ref="P267" si="1210">O267-O266</f>
        <v>12</v>
      </c>
      <c r="Q267" s="18">
        <f t="shared" ref="Q267" si="1211">P267*$C$2</f>
        <v>3.4763999999999999</v>
      </c>
      <c r="R267" s="114">
        <v>1744</v>
      </c>
      <c r="S267" s="68">
        <f t="shared" ref="S267" si="1212">R267-R266</f>
        <v>4</v>
      </c>
      <c r="T267" s="17"/>
      <c r="U267" s="2">
        <v>33981</v>
      </c>
      <c r="V267" s="17">
        <f t="shared" ref="V267" si="1213">U267-U266</f>
        <v>10</v>
      </c>
      <c r="W267" s="18">
        <f t="shared" ref="W267" si="1214">V267*$C$3</f>
        <v>3</v>
      </c>
      <c r="X267" s="2">
        <v>12260</v>
      </c>
      <c r="Y267" s="108">
        <f t="shared" ref="Y267" si="1215">X267-X266</f>
        <v>5</v>
      </c>
      <c r="Z267" s="18">
        <f t="shared" ref="Z267" si="1216">Y267*$C$6*$G$4</f>
        <v>6.5282644017725255</v>
      </c>
      <c r="AA267" s="2">
        <v>926.47</v>
      </c>
      <c r="AB267" s="17">
        <f t="shared" ref="AB267" si="1217">AA267-AA266</f>
        <v>1.3100000000000591</v>
      </c>
      <c r="AC267" s="17"/>
      <c r="AD267" s="24">
        <f t="shared" ref="AD267" si="1218">C267+E267+G267+I267+K267+M267+AF267</f>
        <v>0.89000000000002721</v>
      </c>
      <c r="AE267" s="25">
        <v>140.68</v>
      </c>
      <c r="AF267" s="24">
        <f t="shared" si="1144"/>
        <v>-1.999999999998181E-2</v>
      </c>
      <c r="AG267" s="2"/>
      <c r="AH267" s="29"/>
    </row>
    <row r="268" spans="1:34" x14ac:dyDescent="0.25">
      <c r="A268" s="5">
        <v>44858</v>
      </c>
      <c r="B268" s="2">
        <v>24.22</v>
      </c>
      <c r="C268" s="18">
        <f t="shared" si="1156"/>
        <v>9.9999999999997868E-2</v>
      </c>
      <c r="D268" s="67">
        <v>8.6</v>
      </c>
      <c r="E268" s="107">
        <f t="shared" si="1133"/>
        <v>1.9999999999999574E-2</v>
      </c>
      <c r="F268" s="2">
        <v>81.56</v>
      </c>
      <c r="G268" s="107">
        <f t="shared" si="1134"/>
        <v>0.15999999999999659</v>
      </c>
      <c r="H268" s="2">
        <v>2.83</v>
      </c>
      <c r="I268" s="107">
        <f t="shared" si="1135"/>
        <v>1.0000000000000231E-2</v>
      </c>
      <c r="J268" s="2">
        <v>84.17</v>
      </c>
      <c r="K268" s="18">
        <f t="shared" si="1136"/>
        <v>0.12999999999999545</v>
      </c>
      <c r="L268" s="2">
        <v>55.17</v>
      </c>
      <c r="M268" s="18">
        <f t="shared" ref="M268" si="1219">L268-L267</f>
        <v>0.10000000000000142</v>
      </c>
      <c r="N268" s="18">
        <f t="shared" ref="N268" si="1220">G268-M268</f>
        <v>5.9999999999995168E-2</v>
      </c>
      <c r="O268" s="114">
        <v>69559</v>
      </c>
      <c r="P268" s="68">
        <f t="shared" ref="P268" si="1221">O268-O267</f>
        <v>13</v>
      </c>
      <c r="Q268" s="18">
        <f t="shared" ref="Q268" si="1222">P268*$C$2</f>
        <v>3.7661000000000002</v>
      </c>
      <c r="R268" s="114">
        <v>1748</v>
      </c>
      <c r="S268" s="68">
        <f t="shared" ref="S268" si="1223">R268-R267</f>
        <v>4</v>
      </c>
      <c r="T268" s="17"/>
      <c r="U268" s="2">
        <v>33992</v>
      </c>
      <c r="V268" s="17">
        <f t="shared" ref="V268" si="1224">U268-U267</f>
        <v>11</v>
      </c>
      <c r="W268" s="18">
        <f t="shared" ref="W268" si="1225">V268*$C$3</f>
        <v>3.3</v>
      </c>
      <c r="X268" s="2">
        <v>12264</v>
      </c>
      <c r="Y268" s="108">
        <f t="shared" ref="Y268" si="1226">X268-X267</f>
        <v>4</v>
      </c>
      <c r="Z268" s="18">
        <f t="shared" ref="Z268" si="1227">Y268*$C$6*$G$4</f>
        <v>5.2226115214180204</v>
      </c>
      <c r="AA268" s="2">
        <v>927.43</v>
      </c>
      <c r="AB268" s="17">
        <f t="shared" ref="AB268" si="1228">AA268-AA267</f>
        <v>0.95999999999992269</v>
      </c>
      <c r="AC268" s="17"/>
      <c r="AD268" s="24">
        <f t="shared" ref="AD268" si="1229">C268+E268+G268+I268+K268+M268+AF268</f>
        <v>0.53999999999997295</v>
      </c>
      <c r="AE268" s="25">
        <v>140.69999999999999</v>
      </c>
      <c r="AF268" s="24">
        <f t="shared" si="1144"/>
        <v>1.999999999998181E-2</v>
      </c>
      <c r="AG268" s="2"/>
      <c r="AH268" s="29"/>
    </row>
    <row r="269" spans="1:34" x14ac:dyDescent="0.25">
      <c r="A269" s="5">
        <v>44859</v>
      </c>
      <c r="B269" s="2">
        <v>24.25</v>
      </c>
      <c r="C269" s="18">
        <f t="shared" si="1156"/>
        <v>3.0000000000001137E-2</v>
      </c>
      <c r="D269" s="67">
        <v>8.6</v>
      </c>
      <c r="E269" s="107">
        <f t="shared" si="1133"/>
        <v>0</v>
      </c>
      <c r="F269" s="2">
        <v>81.69</v>
      </c>
      <c r="G269" s="107">
        <f t="shared" si="1134"/>
        <v>0.12999999999999545</v>
      </c>
      <c r="H269" s="2">
        <v>2.83</v>
      </c>
      <c r="I269" s="107">
        <f t="shared" si="1135"/>
        <v>0</v>
      </c>
      <c r="J269" s="2">
        <v>84.26</v>
      </c>
      <c r="K269" s="18">
        <f t="shared" si="1136"/>
        <v>9.0000000000003411E-2</v>
      </c>
      <c r="L269" s="2">
        <v>55.2</v>
      </c>
      <c r="M269" s="18">
        <f t="shared" ref="M269" si="1230">L269-L268</f>
        <v>3.0000000000001137E-2</v>
      </c>
      <c r="N269" s="18">
        <f t="shared" ref="N269" si="1231">G269-M269</f>
        <v>9.9999999999994316E-2</v>
      </c>
      <c r="O269" s="114">
        <v>69569</v>
      </c>
      <c r="P269" s="68">
        <f t="shared" ref="P269" si="1232">O269-O268</f>
        <v>10</v>
      </c>
      <c r="Q269" s="18">
        <f t="shared" ref="Q269" si="1233">P269*$C$2</f>
        <v>2.8970000000000002</v>
      </c>
      <c r="R269" s="114">
        <v>1751</v>
      </c>
      <c r="S269" s="68">
        <f t="shared" ref="S269" si="1234">R269-R268</f>
        <v>3</v>
      </c>
      <c r="T269" s="17"/>
      <c r="U269" s="2">
        <v>33998</v>
      </c>
      <c r="V269" s="17">
        <f t="shared" ref="V269" si="1235">U269-U268</f>
        <v>6</v>
      </c>
      <c r="W269" s="18">
        <f t="shared" ref="W269" si="1236">V269*$C$3</f>
        <v>1.7999999999999998</v>
      </c>
      <c r="X269" s="2">
        <v>12267</v>
      </c>
      <c r="Y269" s="108">
        <f t="shared" ref="Y269" si="1237">X269-X268</f>
        <v>3</v>
      </c>
      <c r="Z269" s="18">
        <f t="shared" ref="Z269" si="1238">Y269*$C$6*$G$4</f>
        <v>3.9169586410635149</v>
      </c>
      <c r="AA269" s="2">
        <v>927.99</v>
      </c>
      <c r="AB269" s="17">
        <f t="shared" ref="AB269" si="1239">AA269-AA268</f>
        <v>0.56000000000005912</v>
      </c>
      <c r="AC269" s="17"/>
      <c r="AD269" s="24">
        <f t="shared" ref="AD269" si="1240">C269+E269+G269+I269+K269+M269+AF269</f>
        <v>0.28000000000000114</v>
      </c>
      <c r="AE269" s="25">
        <v>140.69999999999999</v>
      </c>
      <c r="AF269" s="24">
        <f t="shared" si="1144"/>
        <v>0</v>
      </c>
      <c r="AG269" s="2"/>
      <c r="AH269" s="29"/>
    </row>
    <row r="270" spans="1:34" x14ac:dyDescent="0.25">
      <c r="A270" s="5">
        <v>44860</v>
      </c>
      <c r="B270" s="2">
        <v>24.29</v>
      </c>
      <c r="C270" s="18">
        <f t="shared" si="1156"/>
        <v>3.9999999999999147E-2</v>
      </c>
      <c r="D270" s="67">
        <v>8.61</v>
      </c>
      <c r="E270" s="107">
        <f t="shared" si="1133"/>
        <v>9.9999999999997868E-3</v>
      </c>
      <c r="F270" s="2">
        <v>81.91</v>
      </c>
      <c r="G270" s="107">
        <f t="shared" si="1134"/>
        <v>0.21999999999999886</v>
      </c>
      <c r="H270" s="2">
        <v>2.83</v>
      </c>
      <c r="I270" s="107">
        <f t="shared" si="1135"/>
        <v>0</v>
      </c>
      <c r="J270" s="2">
        <v>84.41</v>
      </c>
      <c r="K270" s="18">
        <f t="shared" si="1136"/>
        <v>0.14999999999999147</v>
      </c>
      <c r="L270" s="2">
        <v>55.38</v>
      </c>
      <c r="M270" s="18">
        <f t="shared" ref="M270" si="1241">L270-L269</f>
        <v>0.17999999999999972</v>
      </c>
      <c r="N270" s="18">
        <f t="shared" ref="N270" si="1242">G270-M270</f>
        <v>3.9999999999999147E-2</v>
      </c>
      <c r="O270" s="114">
        <v>69578</v>
      </c>
      <c r="P270" s="68">
        <f t="shared" ref="P270" si="1243">O270-O269</f>
        <v>9</v>
      </c>
      <c r="Q270" s="18">
        <f t="shared" ref="Q270" si="1244">P270*$C$2</f>
        <v>2.6073</v>
      </c>
      <c r="R270" s="114">
        <v>1755</v>
      </c>
      <c r="S270" s="68">
        <f t="shared" ref="S270" si="1245">R270-R269</f>
        <v>4</v>
      </c>
      <c r="T270" s="17"/>
      <c r="U270" s="2">
        <v>34002</v>
      </c>
      <c r="V270" s="17">
        <f t="shared" ref="V270" si="1246">U270-U269</f>
        <v>4</v>
      </c>
      <c r="W270" s="18">
        <f t="shared" ref="W270" si="1247">V270*$C$3</f>
        <v>1.2</v>
      </c>
      <c r="X270" s="2">
        <v>12271</v>
      </c>
      <c r="Y270" s="108">
        <f t="shared" ref="Y270" si="1248">X270-X269</f>
        <v>4</v>
      </c>
      <c r="Z270" s="18">
        <f t="shared" ref="Z270" si="1249">Y270*$C$6*$G$4</f>
        <v>5.2226115214180204</v>
      </c>
      <c r="AA270" s="2">
        <v>928.61</v>
      </c>
      <c r="AB270" s="17">
        <f t="shared" ref="AB270" si="1250">AA270-AA269</f>
        <v>0.62000000000000455</v>
      </c>
      <c r="AC270" s="17"/>
      <c r="AD270" s="24">
        <f t="shared" ref="AD270" si="1251">C270+E270+G270+I270+K270+M270+AF270</f>
        <v>0.59999999999998899</v>
      </c>
      <c r="AE270" s="25">
        <v>140.69999999999999</v>
      </c>
      <c r="AF270" s="24">
        <f t="shared" si="1144"/>
        <v>0</v>
      </c>
      <c r="AG270" s="2"/>
      <c r="AH270" s="29"/>
    </row>
    <row r="271" spans="1:34" x14ac:dyDescent="0.25">
      <c r="A271" s="5">
        <v>44861</v>
      </c>
      <c r="B271" s="2">
        <v>24.33</v>
      </c>
      <c r="C271" s="18">
        <f t="shared" si="1156"/>
        <v>3.9999999999999147E-2</v>
      </c>
      <c r="D271" s="67">
        <v>8.64</v>
      </c>
      <c r="E271" s="107">
        <f t="shared" si="1133"/>
        <v>3.0000000000001137E-2</v>
      </c>
      <c r="F271" s="2">
        <v>82.01</v>
      </c>
      <c r="G271" s="107">
        <f t="shared" si="1134"/>
        <v>0.10000000000000853</v>
      </c>
      <c r="H271" s="2">
        <v>2.84</v>
      </c>
      <c r="I271" s="107">
        <f t="shared" si="1135"/>
        <v>9.9999999999997868E-3</v>
      </c>
      <c r="J271" s="2">
        <v>84.55</v>
      </c>
      <c r="K271" s="18">
        <f t="shared" si="1136"/>
        <v>0.14000000000000057</v>
      </c>
      <c r="L271" s="2">
        <v>55.46</v>
      </c>
      <c r="M271" s="18">
        <f t="shared" ref="M271" si="1252">L271-L270</f>
        <v>7.9999999999998295E-2</v>
      </c>
      <c r="N271" s="18">
        <f t="shared" ref="N271" si="1253">G271-M271</f>
        <v>2.0000000000010232E-2</v>
      </c>
      <c r="O271" s="114">
        <v>69589</v>
      </c>
      <c r="P271" s="68">
        <f t="shared" ref="P271" si="1254">O271-O270</f>
        <v>11</v>
      </c>
      <c r="Q271" s="18">
        <f t="shared" ref="Q271" si="1255">P271*$C$2</f>
        <v>3.1867000000000001</v>
      </c>
      <c r="R271" s="114">
        <v>1761</v>
      </c>
      <c r="S271" s="68">
        <f t="shared" ref="S271" si="1256">R271-R270</f>
        <v>6</v>
      </c>
      <c r="T271" s="17"/>
      <c r="U271" s="2">
        <v>34005</v>
      </c>
      <c r="V271" s="17">
        <f t="shared" ref="V271" si="1257">U271-U270</f>
        <v>3</v>
      </c>
      <c r="W271" s="18">
        <f t="shared" ref="W271" si="1258">V271*$C$3</f>
        <v>0.89999999999999991</v>
      </c>
      <c r="X271" s="2">
        <v>12275</v>
      </c>
      <c r="Y271" s="108">
        <f t="shared" ref="Y271" si="1259">X271-X270</f>
        <v>4</v>
      </c>
      <c r="Z271" s="18">
        <f t="shared" ref="Z271" si="1260">Y271*$C$6*$G$4</f>
        <v>5.2226115214180204</v>
      </c>
      <c r="AA271" s="2">
        <v>929.19</v>
      </c>
      <c r="AB271" s="17">
        <f t="shared" ref="AB271" si="1261">AA271-AA270</f>
        <v>0.58000000000004093</v>
      </c>
      <c r="AC271" s="17"/>
      <c r="AD271" s="24">
        <f t="shared" ref="AD271" si="1262">C271+E271+G271+I271+K271+M271+AF271</f>
        <v>0.40000000000000746</v>
      </c>
      <c r="AE271" s="25">
        <v>140.69999999999999</v>
      </c>
      <c r="AF271" s="24">
        <f t="shared" si="1144"/>
        <v>0</v>
      </c>
      <c r="AG271" s="2"/>
      <c r="AH271" s="29"/>
    </row>
    <row r="272" spans="1:34" x14ac:dyDescent="0.25">
      <c r="A272" s="5">
        <v>44862</v>
      </c>
      <c r="B272" s="2">
        <v>24.37</v>
      </c>
      <c r="C272" s="18">
        <f t="shared" si="1156"/>
        <v>4.00000000000027E-2</v>
      </c>
      <c r="D272" s="67">
        <v>8.65</v>
      </c>
      <c r="E272" s="107">
        <f t="shared" si="1133"/>
        <v>9.9999999999997868E-3</v>
      </c>
      <c r="F272" s="2">
        <v>82.14</v>
      </c>
      <c r="G272" s="107">
        <f t="shared" si="1134"/>
        <v>0.12999999999999545</v>
      </c>
      <c r="H272" s="2">
        <v>2.84</v>
      </c>
      <c r="I272" s="107">
        <f t="shared" si="1135"/>
        <v>0</v>
      </c>
      <c r="J272" s="2">
        <v>84.66</v>
      </c>
      <c r="K272" s="18">
        <f t="shared" si="1136"/>
        <v>0.10999999999999943</v>
      </c>
      <c r="L272" s="2">
        <v>55.49</v>
      </c>
      <c r="M272" s="18">
        <f t="shared" ref="M272:M273" si="1263">L272-L271</f>
        <v>3.0000000000001137E-2</v>
      </c>
      <c r="N272" s="18">
        <f t="shared" ref="N272:N273" si="1264">G272-M272</f>
        <v>9.9999999999994316E-2</v>
      </c>
      <c r="O272" s="114">
        <v>69598</v>
      </c>
      <c r="P272" s="68">
        <f t="shared" ref="P272" si="1265">O272-O271</f>
        <v>9</v>
      </c>
      <c r="Q272" s="18">
        <f t="shared" ref="Q272" si="1266">P272*$C$2</f>
        <v>2.6073</v>
      </c>
      <c r="R272" s="114">
        <v>1765</v>
      </c>
      <c r="S272" s="68">
        <f t="shared" ref="S272" si="1267">R272-R271</f>
        <v>4</v>
      </c>
      <c r="T272" s="17"/>
      <c r="U272" s="2">
        <v>34010</v>
      </c>
      <c r="V272" s="17">
        <f t="shared" ref="V272" si="1268">U272-U271</f>
        <v>5</v>
      </c>
      <c r="W272" s="18">
        <f t="shared" ref="W272" si="1269">V272*$C$3</f>
        <v>1.5</v>
      </c>
      <c r="X272" s="2">
        <v>12279</v>
      </c>
      <c r="Y272" s="108">
        <f t="shared" ref="Y272" si="1270">X272-X271</f>
        <v>4</v>
      </c>
      <c r="Z272" s="18">
        <f t="shared" ref="Z272" si="1271">Y272*$C$6*$G$4</f>
        <v>5.2226115214180204</v>
      </c>
      <c r="AA272" s="2">
        <v>929.76</v>
      </c>
      <c r="AB272" s="17">
        <f t="shared" ref="AB272" si="1272">AA272-AA271</f>
        <v>0.56999999999993634</v>
      </c>
      <c r="AC272" s="17"/>
      <c r="AD272" s="24">
        <f t="shared" ref="AD272" si="1273">C272+E272+G272+I272+K272+M272+AF272</f>
        <v>0.31999999999999851</v>
      </c>
      <c r="AE272" s="25">
        <v>140.69999999999999</v>
      </c>
      <c r="AF272" s="24">
        <f t="shared" si="1144"/>
        <v>0</v>
      </c>
      <c r="AG272" s="2"/>
      <c r="AH272" s="29"/>
    </row>
    <row r="273" spans="1:34" x14ac:dyDescent="0.25">
      <c r="A273" s="5">
        <v>44863</v>
      </c>
      <c r="B273" s="2">
        <v>24.4</v>
      </c>
      <c r="C273" s="18">
        <f t="shared" si="1156"/>
        <v>2.9999999999997584E-2</v>
      </c>
      <c r="D273" s="67">
        <v>8.66</v>
      </c>
      <c r="E273" s="107">
        <f t="shared" si="1133"/>
        <v>9.9999999999997868E-3</v>
      </c>
      <c r="F273" s="2">
        <v>82.31</v>
      </c>
      <c r="G273" s="107">
        <f t="shared" si="1134"/>
        <v>0.17000000000000171</v>
      </c>
      <c r="H273" s="2">
        <v>2.84</v>
      </c>
      <c r="I273" s="107">
        <f t="shared" si="1135"/>
        <v>0</v>
      </c>
      <c r="J273" s="2">
        <v>84.84</v>
      </c>
      <c r="K273" s="18">
        <f t="shared" si="1136"/>
        <v>0.18000000000000682</v>
      </c>
      <c r="L273" s="2">
        <v>55.64</v>
      </c>
      <c r="M273" s="18">
        <f t="shared" si="1263"/>
        <v>0.14999999999999858</v>
      </c>
      <c r="N273" s="18">
        <f t="shared" si="1264"/>
        <v>2.0000000000003126E-2</v>
      </c>
      <c r="O273" s="114">
        <v>69612</v>
      </c>
      <c r="P273" s="68">
        <f t="shared" ref="P273" si="1274">O273-O272</f>
        <v>14</v>
      </c>
      <c r="Q273" s="18">
        <f t="shared" ref="Q273" si="1275">P273*$C$2</f>
        <v>4.0558000000000005</v>
      </c>
      <c r="R273" s="114">
        <v>1769</v>
      </c>
      <c r="S273" s="68">
        <f t="shared" ref="S273" si="1276">R273-R272</f>
        <v>4</v>
      </c>
      <c r="T273" s="17"/>
      <c r="U273" s="2">
        <v>34016</v>
      </c>
      <c r="V273" s="17">
        <f t="shared" ref="V273" si="1277">U273-U272</f>
        <v>6</v>
      </c>
      <c r="W273" s="18">
        <f t="shared" ref="W273" si="1278">V273*$C$3</f>
        <v>1.7999999999999998</v>
      </c>
      <c r="X273" s="2">
        <v>12282</v>
      </c>
      <c r="Y273" s="108">
        <f t="shared" ref="Y273" si="1279">X273-X272</f>
        <v>3</v>
      </c>
      <c r="Z273" s="18">
        <f t="shared" ref="Z273" si="1280">Y273*$C$6*$G$4</f>
        <v>3.9169586410635149</v>
      </c>
      <c r="AA273" s="2">
        <v>930.39</v>
      </c>
      <c r="AB273" s="17">
        <f t="shared" ref="AB273" si="1281">AA273-AA272</f>
        <v>0.62999999999999545</v>
      </c>
      <c r="AC273" s="17"/>
      <c r="AD273" s="24">
        <f t="shared" ref="AD273" si="1282">C273+E273+G273+I273+K273+M273+AF273</f>
        <v>0.54000000000000448</v>
      </c>
      <c r="AE273" s="25">
        <v>140.69999999999999</v>
      </c>
      <c r="AF273" s="24">
        <f t="shared" si="1144"/>
        <v>0</v>
      </c>
      <c r="AG273" s="2"/>
      <c r="AH273" s="29"/>
    </row>
    <row r="274" spans="1:34" x14ac:dyDescent="0.25">
      <c r="A274" s="5">
        <v>44864</v>
      </c>
      <c r="B274" s="2">
        <v>24.4</v>
      </c>
      <c r="C274" s="18">
        <f t="shared" si="1156"/>
        <v>0</v>
      </c>
      <c r="D274" s="67">
        <v>8.67</v>
      </c>
      <c r="E274" s="107">
        <f t="shared" si="1133"/>
        <v>9.9999999999997868E-3</v>
      </c>
      <c r="F274" s="2">
        <v>82.47</v>
      </c>
      <c r="G274" s="107">
        <f t="shared" si="1134"/>
        <v>0.15999999999999659</v>
      </c>
      <c r="H274" s="2">
        <v>2.84</v>
      </c>
      <c r="I274" s="107">
        <f t="shared" si="1135"/>
        <v>0</v>
      </c>
      <c r="J274" s="2">
        <v>85.03</v>
      </c>
      <c r="K274" s="18">
        <f t="shared" si="1136"/>
        <v>0.18999999999999773</v>
      </c>
      <c r="L274" s="2">
        <v>55.76</v>
      </c>
      <c r="M274" s="18">
        <f t="shared" ref="M274" si="1283">L274-L273</f>
        <v>0.11999999999999744</v>
      </c>
      <c r="N274" s="18">
        <f t="shared" ref="N274" si="1284">G274-M274</f>
        <v>3.9999999999999147E-2</v>
      </c>
      <c r="O274" s="114">
        <v>69626</v>
      </c>
      <c r="P274" s="68">
        <f t="shared" ref="P274" si="1285">O274-O273</f>
        <v>14</v>
      </c>
      <c r="Q274" s="18">
        <f t="shared" ref="Q274" si="1286">P274*$C$2</f>
        <v>4.0558000000000005</v>
      </c>
      <c r="R274" s="114">
        <v>1772</v>
      </c>
      <c r="S274" s="68">
        <f t="shared" ref="S274" si="1287">R274-R273</f>
        <v>3</v>
      </c>
      <c r="T274" s="17"/>
      <c r="U274" s="2">
        <v>34020</v>
      </c>
      <c r="V274" s="17">
        <f t="shared" ref="V274" si="1288">U274-U273</f>
        <v>4</v>
      </c>
      <c r="W274" s="18">
        <f t="shared" ref="W274" si="1289">V274*$C$3</f>
        <v>1.2</v>
      </c>
      <c r="X274" s="2">
        <v>12286</v>
      </c>
      <c r="Y274" s="108">
        <f t="shared" ref="Y274" si="1290">X274-X273</f>
        <v>4</v>
      </c>
      <c r="Z274" s="18">
        <f t="shared" ref="Z274" si="1291">Y274*$C$6*$G$4</f>
        <v>5.2226115214180204</v>
      </c>
      <c r="AA274" s="2">
        <v>931.1</v>
      </c>
      <c r="AB274" s="17">
        <f t="shared" ref="AB274" si="1292">AA274-AA273</f>
        <v>0.71000000000003638</v>
      </c>
      <c r="AC274" s="17"/>
      <c r="AD274" s="24">
        <f t="shared" ref="AD274" si="1293">C274+E274+G274+I274+K274+M274+AF274</f>
        <v>0.47999999999999154</v>
      </c>
      <c r="AE274" s="25">
        <v>140.69999999999999</v>
      </c>
      <c r="AF274" s="24">
        <f t="shared" si="1144"/>
        <v>0</v>
      </c>
      <c r="AG274" s="2"/>
      <c r="AH274" s="29"/>
    </row>
    <row r="275" spans="1:34" x14ac:dyDescent="0.25">
      <c r="A275" s="5">
        <v>44865</v>
      </c>
      <c r="B275" s="2">
        <v>24.41</v>
      </c>
      <c r="C275" s="18">
        <f t="shared" si="1156"/>
        <v>1.0000000000001563E-2</v>
      </c>
      <c r="D275" s="67">
        <v>8.68</v>
      </c>
      <c r="E275" s="107">
        <f t="shared" si="1133"/>
        <v>9.9999999999997868E-3</v>
      </c>
      <c r="F275" s="2">
        <v>82.64</v>
      </c>
      <c r="G275" s="107">
        <f t="shared" si="1134"/>
        <v>0.17000000000000171</v>
      </c>
      <c r="H275" s="2">
        <v>2.84</v>
      </c>
      <c r="I275" s="107">
        <f t="shared" si="1135"/>
        <v>0</v>
      </c>
      <c r="J275" s="2">
        <v>85.2</v>
      </c>
      <c r="K275" s="18">
        <f t="shared" si="1136"/>
        <v>0.17000000000000171</v>
      </c>
      <c r="L275" s="2">
        <v>55.87</v>
      </c>
      <c r="M275" s="18">
        <f t="shared" ref="M275" si="1294">L275-L274</f>
        <v>0.10999999999999943</v>
      </c>
      <c r="N275" s="18">
        <f t="shared" ref="N275" si="1295">G275-M275</f>
        <v>6.0000000000002274E-2</v>
      </c>
      <c r="O275" s="114">
        <v>69637</v>
      </c>
      <c r="P275" s="68">
        <f t="shared" ref="P275" si="1296">O275-O274</f>
        <v>11</v>
      </c>
      <c r="Q275" s="18">
        <f t="shared" ref="Q275" si="1297">P275*$C$2</f>
        <v>3.1867000000000001</v>
      </c>
      <c r="R275" s="114">
        <v>1776</v>
      </c>
      <c r="S275" s="68">
        <f t="shared" ref="S275" si="1298">R275-R274</f>
        <v>4</v>
      </c>
      <c r="T275" s="17"/>
      <c r="U275" s="2">
        <v>34024</v>
      </c>
      <c r="V275" s="17">
        <f t="shared" ref="V275" si="1299">U275-U274</f>
        <v>4</v>
      </c>
      <c r="W275" s="18">
        <f t="shared" ref="W275" si="1300">V275*$C$3</f>
        <v>1.2</v>
      </c>
      <c r="X275" s="2">
        <v>12291</v>
      </c>
      <c r="Y275" s="108">
        <f t="shared" ref="Y275" si="1301">X275-X274</f>
        <v>5</v>
      </c>
      <c r="Z275" s="18">
        <f t="shared" ref="Z275" si="1302">Y275*$C$6*$G$4</f>
        <v>6.5282644017725255</v>
      </c>
      <c r="AA275" s="2">
        <v>931.88</v>
      </c>
      <c r="AB275" s="17">
        <f t="shared" ref="AB275" si="1303">AA275-AA274</f>
        <v>0.77999999999997272</v>
      </c>
      <c r="AC275" s="17"/>
      <c r="AD275" s="24">
        <f t="shared" ref="AD275:AD278" si="1304">C275+E275+G275+I275+K275+M275+AF275</f>
        <v>0.47000000000000419</v>
      </c>
      <c r="AE275" s="25">
        <v>140.69999999999999</v>
      </c>
      <c r="AF275" s="24">
        <f t="shared" si="1144"/>
        <v>0</v>
      </c>
      <c r="AG275" s="2"/>
      <c r="AH275" s="29"/>
    </row>
    <row r="276" spans="1:34" x14ac:dyDescent="0.25">
      <c r="A276" s="32" t="s">
        <v>142</v>
      </c>
      <c r="B276" s="66"/>
      <c r="C276" s="34">
        <f>SUM(C246:C275)</f>
        <v>1.3000000000000034</v>
      </c>
      <c r="D276" s="61"/>
      <c r="E276" s="66">
        <f t="shared" ref="E276:K276" si="1305">SUM(E246:E275)</f>
        <v>0.50999999999999956</v>
      </c>
      <c r="F276" s="61"/>
      <c r="G276" s="66">
        <f t="shared" si="1305"/>
        <v>4.2000000000000064</v>
      </c>
      <c r="H276" s="61"/>
      <c r="I276" s="34">
        <f t="shared" si="1305"/>
        <v>0.10999999999999965</v>
      </c>
      <c r="J276" s="61"/>
      <c r="K276" s="66">
        <f t="shared" si="1305"/>
        <v>3.2500000000000071</v>
      </c>
      <c r="L276" s="61"/>
      <c r="M276" s="66">
        <f>SUM(M246:M275)</f>
        <v>2.3799999999999972</v>
      </c>
      <c r="N276" s="34">
        <f>SUM(N246:N275)</f>
        <v>1.8200000000000092</v>
      </c>
      <c r="O276" s="116"/>
      <c r="P276" s="33">
        <f>SUM(P246:P275)</f>
        <v>236.44</v>
      </c>
      <c r="Q276" s="109">
        <f>SUM(Q246:Q275)</f>
        <v>68.496668</v>
      </c>
      <c r="R276" s="116" t="s">
        <v>63</v>
      </c>
      <c r="S276" s="34">
        <f>SUM(S246:S275)</f>
        <v>120</v>
      </c>
      <c r="T276" s="34"/>
      <c r="U276" s="34"/>
      <c r="V276" s="34">
        <f>SUM(V245:V275)</f>
        <v>162</v>
      </c>
      <c r="W276" s="109">
        <f>SUM(W246:W275)</f>
        <v>47.4</v>
      </c>
      <c r="X276" s="34"/>
      <c r="Y276" s="129">
        <f>SUM(Y245:Y275)</f>
        <v>115</v>
      </c>
      <c r="Z276" s="109">
        <f>SUM(Z246:Z275)</f>
        <v>142.31616395864106</v>
      </c>
      <c r="AA276" s="34"/>
      <c r="AB276" s="61">
        <f>SUM(AB246:AB275)</f>
        <v>18.339999999999989</v>
      </c>
      <c r="AC276" s="34"/>
      <c r="AD276" s="34">
        <f t="shared" si="1304"/>
        <v>11.750000000000012</v>
      </c>
      <c r="AE276" s="61"/>
      <c r="AF276" s="34">
        <f>SUM(AF245:AF275)</f>
        <v>0</v>
      </c>
      <c r="AG276" s="34"/>
      <c r="AH276" s="29"/>
    </row>
    <row r="277" spans="1:34" x14ac:dyDescent="0.25">
      <c r="A277" s="5">
        <v>44866</v>
      </c>
      <c r="B277" s="2">
        <v>24.45</v>
      </c>
      <c r="C277" s="18">
        <f>B277-B275</f>
        <v>3.9999999999999147E-2</v>
      </c>
      <c r="D277" s="67">
        <v>8.68</v>
      </c>
      <c r="E277" s="107">
        <f>D277-D275</f>
        <v>0</v>
      </c>
      <c r="F277" s="2">
        <v>82.72</v>
      </c>
      <c r="G277" s="107">
        <f>F277-F275</f>
        <v>7.9999999999998295E-2</v>
      </c>
      <c r="H277" s="2">
        <v>2.84</v>
      </c>
      <c r="I277" s="107">
        <f>H277-H275</f>
        <v>0</v>
      </c>
      <c r="J277" s="2">
        <v>85.34</v>
      </c>
      <c r="K277" s="18">
        <f>J277-J275</f>
        <v>0.14000000000000057</v>
      </c>
      <c r="L277" s="2">
        <v>55.94</v>
      </c>
      <c r="M277" s="18">
        <f>L277-L275</f>
        <v>7.0000000000000284E-2</v>
      </c>
      <c r="N277" s="18">
        <f t="shared" ref="N277:N278" si="1306">G277-M277</f>
        <v>9.9999999999980105E-3</v>
      </c>
      <c r="O277" s="114">
        <v>69647</v>
      </c>
      <c r="P277" s="17">
        <f>O277-O275</f>
        <v>10</v>
      </c>
      <c r="Q277" s="18">
        <f t="shared" ref="Q277:Q278" si="1307">P277*$C$2</f>
        <v>2.8970000000000002</v>
      </c>
      <c r="R277" s="114">
        <v>1778</v>
      </c>
      <c r="S277" s="17">
        <f>R277-R275</f>
        <v>2</v>
      </c>
      <c r="T277" s="17"/>
      <c r="U277" s="2">
        <v>34032</v>
      </c>
      <c r="V277" s="17">
        <f>U277-U275</f>
        <v>8</v>
      </c>
      <c r="W277" s="18">
        <f t="shared" ref="W277:W278" si="1308">V277*$C$3</f>
        <v>2.4</v>
      </c>
      <c r="X277" s="2">
        <v>12293</v>
      </c>
      <c r="Y277" s="108">
        <f>X277-X275</f>
        <v>2</v>
      </c>
      <c r="Z277" s="18">
        <f t="shared" ref="Z277:Z278" si="1309">Y277*$C$6*$G$4</f>
        <v>2.6113057607090102</v>
      </c>
      <c r="AA277" s="2">
        <v>932.56</v>
      </c>
      <c r="AB277" s="17">
        <f>AA277-AA275</f>
        <v>0.67999999999994998</v>
      </c>
      <c r="AC277" s="17"/>
      <c r="AD277" s="24">
        <f t="shared" si="1304"/>
        <v>0.32999999999999829</v>
      </c>
      <c r="AE277" s="25">
        <v>140.69999999999999</v>
      </c>
      <c r="AF277" s="24">
        <f>AE277-AE275</f>
        <v>0</v>
      </c>
      <c r="AG277" s="2"/>
      <c r="AH277" s="29"/>
    </row>
    <row r="278" spans="1:34" x14ac:dyDescent="0.25">
      <c r="A278" s="5">
        <v>44867</v>
      </c>
      <c r="B278" s="2">
        <v>24.48</v>
      </c>
      <c r="C278" s="18">
        <f>B278-B277</f>
        <v>3.0000000000001137E-2</v>
      </c>
      <c r="D278" s="67">
        <v>8.69</v>
      </c>
      <c r="E278" s="107">
        <f t="shared" ref="E278:E283" si="1310">D278-D277</f>
        <v>9.9999999999997868E-3</v>
      </c>
      <c r="F278" s="2">
        <v>83.02</v>
      </c>
      <c r="G278" s="107">
        <f t="shared" ref="G278:G283" si="1311">F278-F277</f>
        <v>0.29999999999999716</v>
      </c>
      <c r="H278" s="2">
        <v>2.84</v>
      </c>
      <c r="I278" s="107">
        <f t="shared" ref="I278:I283" si="1312">H278-H277</f>
        <v>0</v>
      </c>
      <c r="J278" s="2">
        <v>85.51</v>
      </c>
      <c r="K278" s="18">
        <f t="shared" ref="K278:K283" si="1313">J278-J277</f>
        <v>0.17000000000000171</v>
      </c>
      <c r="L278" s="2">
        <v>56.13</v>
      </c>
      <c r="M278" s="18">
        <f t="shared" ref="M278" si="1314">L278-L277</f>
        <v>0.19000000000000483</v>
      </c>
      <c r="N278" s="18">
        <f t="shared" si="1306"/>
        <v>0.10999999999999233</v>
      </c>
      <c r="O278" s="114">
        <v>69657</v>
      </c>
      <c r="P278" s="68">
        <f t="shared" ref="P278" si="1315">O278-O277</f>
        <v>10</v>
      </c>
      <c r="Q278" s="18">
        <f t="shared" si="1307"/>
        <v>2.8970000000000002</v>
      </c>
      <c r="R278" s="114">
        <v>1781</v>
      </c>
      <c r="S278" s="68">
        <f t="shared" ref="S278" si="1316">R278-R277</f>
        <v>3</v>
      </c>
      <c r="T278" s="17"/>
      <c r="U278" s="2">
        <v>34034</v>
      </c>
      <c r="V278" s="17">
        <f t="shared" ref="V278" si="1317">U278-U277</f>
        <v>2</v>
      </c>
      <c r="W278" s="18">
        <f t="shared" si="1308"/>
        <v>0.6</v>
      </c>
      <c r="X278" s="2">
        <v>12298</v>
      </c>
      <c r="Y278" s="108">
        <f t="shared" ref="Y278" si="1318">X278-X277</f>
        <v>5</v>
      </c>
      <c r="Z278" s="18">
        <f t="shared" si="1309"/>
        <v>6.5282644017725255</v>
      </c>
      <c r="AA278" s="2">
        <v>933.29</v>
      </c>
      <c r="AB278" s="17">
        <f t="shared" ref="AB278" si="1319">AA278-AA277</f>
        <v>0.73000000000001819</v>
      </c>
      <c r="AC278" s="17"/>
      <c r="AD278" s="24">
        <f t="shared" si="1304"/>
        <v>0.70000000000000462</v>
      </c>
      <c r="AE278" s="25">
        <v>140.69999999999999</v>
      </c>
      <c r="AF278" s="24">
        <f t="shared" ref="AF278:AF279" si="1320">AE278-AE277</f>
        <v>0</v>
      </c>
      <c r="AG278" s="2"/>
      <c r="AH278" s="29"/>
    </row>
    <row r="279" spans="1:34" x14ac:dyDescent="0.25">
      <c r="A279" s="5">
        <v>44868</v>
      </c>
      <c r="B279" s="2">
        <v>24.54</v>
      </c>
      <c r="C279" s="18">
        <f>B279-B278</f>
        <v>5.9999999999998721E-2</v>
      </c>
      <c r="D279" s="67">
        <v>8.6999999999999993</v>
      </c>
      <c r="E279" s="107">
        <f t="shared" si="1310"/>
        <v>9.9999999999997868E-3</v>
      </c>
      <c r="F279" s="2">
        <v>83.1</v>
      </c>
      <c r="G279" s="107">
        <f t="shared" si="1311"/>
        <v>7.9999999999998295E-2</v>
      </c>
      <c r="H279" s="2">
        <v>2.84</v>
      </c>
      <c r="I279" s="107">
        <f t="shared" si="1312"/>
        <v>0</v>
      </c>
      <c r="J279" s="2">
        <v>85.63</v>
      </c>
      <c r="K279" s="18">
        <f t="shared" si="1313"/>
        <v>0.11999999999999034</v>
      </c>
      <c r="L279" s="2">
        <v>56.2</v>
      </c>
      <c r="M279" s="18">
        <f t="shared" ref="M279" si="1321">L279-L278</f>
        <v>7.0000000000000284E-2</v>
      </c>
      <c r="N279" s="18">
        <f t="shared" ref="N279" si="1322">G279-M279</f>
        <v>9.9999999999980105E-3</v>
      </c>
      <c r="O279" s="114">
        <v>69668</v>
      </c>
      <c r="P279" s="68">
        <f t="shared" ref="P279" si="1323">O279-O278</f>
        <v>11</v>
      </c>
      <c r="Q279" s="18">
        <f t="shared" ref="Q279" si="1324">P279*$C$2</f>
        <v>3.1867000000000001</v>
      </c>
      <c r="R279" s="114">
        <v>1786</v>
      </c>
      <c r="S279" s="68">
        <f t="shared" ref="S279" si="1325">R279-R278</f>
        <v>5</v>
      </c>
      <c r="T279" s="17"/>
      <c r="U279" s="2">
        <v>34041</v>
      </c>
      <c r="V279" s="17">
        <f t="shared" ref="V279" si="1326">U279-U278</f>
        <v>7</v>
      </c>
      <c r="W279" s="18">
        <f t="shared" ref="W279" si="1327">V279*$C$3</f>
        <v>2.1</v>
      </c>
      <c r="X279" s="2">
        <v>12303</v>
      </c>
      <c r="Y279" s="108">
        <f t="shared" ref="Y279" si="1328">X279-X278</f>
        <v>5</v>
      </c>
      <c r="Z279" s="18">
        <f t="shared" ref="Z279" si="1329">Y279*$C$6*$G$4</f>
        <v>6.5282644017725255</v>
      </c>
      <c r="AA279" s="2">
        <v>933.9</v>
      </c>
      <c r="AB279" s="17">
        <f t="shared" ref="AB279" si="1330">AA279-AA278</f>
        <v>0.61000000000001364</v>
      </c>
      <c r="AC279" s="17"/>
      <c r="AD279" s="24">
        <f>C279+E279+G279+I279+K279+M279+AF279</f>
        <v>0.33999999999998742</v>
      </c>
      <c r="AE279" s="25">
        <v>140.69999999999999</v>
      </c>
      <c r="AF279" s="24">
        <f>AE279-AE278</f>
        <v>0</v>
      </c>
      <c r="AG279" s="2"/>
      <c r="AH279" s="29"/>
    </row>
    <row r="280" spans="1:34" x14ac:dyDescent="0.25">
      <c r="A280" s="5">
        <v>44869</v>
      </c>
      <c r="B280" s="2">
        <v>24.58</v>
      </c>
      <c r="C280" s="18">
        <f>B280-B279</f>
        <v>3.9999999999999147E-2</v>
      </c>
      <c r="D280" s="67">
        <v>8.7200000000000006</v>
      </c>
      <c r="E280" s="107">
        <f t="shared" si="1310"/>
        <v>2.000000000000135E-2</v>
      </c>
      <c r="F280" s="2">
        <v>83.32</v>
      </c>
      <c r="G280" s="107">
        <f t="shared" si="1311"/>
        <v>0.21999999999999886</v>
      </c>
      <c r="H280" s="2">
        <v>2.85</v>
      </c>
      <c r="I280" s="107">
        <f t="shared" si="1312"/>
        <v>1.0000000000000231E-2</v>
      </c>
      <c r="J280" s="2">
        <v>85.75</v>
      </c>
      <c r="K280" s="18">
        <f t="shared" si="1313"/>
        <v>0.12000000000000455</v>
      </c>
      <c r="L280" s="2">
        <v>56.25</v>
      </c>
      <c r="M280" s="18">
        <f t="shared" ref="M280" si="1331">L280-L279</f>
        <v>4.9999999999997158E-2</v>
      </c>
      <c r="N280" s="18">
        <f t="shared" ref="N280" si="1332">G280-M280</f>
        <v>0.17000000000000171</v>
      </c>
      <c r="O280" s="114">
        <v>69678</v>
      </c>
      <c r="P280" s="68">
        <f t="shared" ref="P280" si="1333">O280-O279</f>
        <v>10</v>
      </c>
      <c r="Q280" s="18">
        <f t="shared" ref="Q280" si="1334">P280*$C$2</f>
        <v>2.8970000000000002</v>
      </c>
      <c r="R280" s="114">
        <v>1790</v>
      </c>
      <c r="S280" s="68">
        <f t="shared" ref="S280" si="1335">R280-R279</f>
        <v>4</v>
      </c>
      <c r="T280" s="17"/>
      <c r="U280" s="2">
        <v>34045</v>
      </c>
      <c r="V280" s="17">
        <f t="shared" ref="V280" si="1336">U280-U279</f>
        <v>4</v>
      </c>
      <c r="W280" s="18">
        <f t="shared" ref="W280" si="1337">V280*$C$3</f>
        <v>1.2</v>
      </c>
      <c r="X280" s="2">
        <v>12310</v>
      </c>
      <c r="Y280" s="108">
        <f t="shared" ref="Y280" si="1338">X280-X279</f>
        <v>7</v>
      </c>
      <c r="Z280" s="18">
        <f t="shared" ref="Z280" si="1339">Y280*$C$6*$G$4</f>
        <v>9.1395701624815349</v>
      </c>
      <c r="AA280" s="20">
        <v>934.67</v>
      </c>
      <c r="AB280" s="17">
        <f t="shared" ref="AB280" si="1340">AA280-AA279</f>
        <v>0.76999999999998181</v>
      </c>
      <c r="AC280" s="17"/>
      <c r="AD280" s="24">
        <f t="shared" ref="AD280" si="1341">C280+E280+G280+I280+K280+M280+AF280</f>
        <v>0.55000000000000471</v>
      </c>
      <c r="AE280" s="25">
        <v>140.79</v>
      </c>
      <c r="AF280" s="24">
        <f>AE280-AE279</f>
        <v>9.0000000000003411E-2</v>
      </c>
      <c r="AG280" s="2"/>
      <c r="AH280" s="29"/>
    </row>
    <row r="281" spans="1:34" x14ac:dyDescent="0.25">
      <c r="A281" s="5">
        <v>44870</v>
      </c>
      <c r="B281" s="2">
        <v>24.63</v>
      </c>
      <c r="C281" s="18">
        <f>B281-B280</f>
        <v>5.0000000000000711E-2</v>
      </c>
      <c r="D281" s="67">
        <v>8.7799999999999994</v>
      </c>
      <c r="E281" s="107">
        <f t="shared" si="1310"/>
        <v>5.9999999999998721E-2</v>
      </c>
      <c r="F281" s="2">
        <v>83.45</v>
      </c>
      <c r="G281" s="107">
        <f t="shared" si="1311"/>
        <v>0.13000000000000966</v>
      </c>
      <c r="H281" s="2">
        <v>2.86</v>
      </c>
      <c r="I281" s="107">
        <f t="shared" si="1312"/>
        <v>9.9999999999997868E-3</v>
      </c>
      <c r="J281" s="2">
        <v>85.87</v>
      </c>
      <c r="K281" s="18">
        <f t="shared" si="1313"/>
        <v>0.12000000000000455</v>
      </c>
      <c r="L281" s="2">
        <v>56.34</v>
      </c>
      <c r="M281" s="18">
        <f t="shared" ref="M281" si="1342">L281-L280</f>
        <v>9.0000000000003411E-2</v>
      </c>
      <c r="N281" s="18">
        <f t="shared" ref="N281" si="1343">G281-M281</f>
        <v>4.0000000000006253E-2</v>
      </c>
      <c r="O281" s="114">
        <v>69692</v>
      </c>
      <c r="P281" s="68">
        <f t="shared" ref="P281" si="1344">O281-O280</f>
        <v>14</v>
      </c>
      <c r="Q281" s="18">
        <f t="shared" ref="Q281" si="1345">P281*$C$2</f>
        <v>4.0558000000000005</v>
      </c>
      <c r="R281" s="114">
        <v>1795</v>
      </c>
      <c r="S281" s="68">
        <f t="shared" ref="S281" si="1346">R281-R280</f>
        <v>5</v>
      </c>
      <c r="T281" s="17"/>
      <c r="U281" s="2">
        <v>34050</v>
      </c>
      <c r="V281" s="17">
        <f t="shared" ref="V281" si="1347">U281-U280</f>
        <v>5</v>
      </c>
      <c r="W281" s="18">
        <f t="shared" ref="W281" si="1348">V281*$C$3</f>
        <v>1.5</v>
      </c>
      <c r="X281" s="2">
        <v>12317</v>
      </c>
      <c r="Y281" s="108">
        <f t="shared" ref="Y281" si="1349">X281-X280</f>
        <v>7</v>
      </c>
      <c r="Z281" s="18">
        <f t="shared" ref="Z281" si="1350">Y281*$C$6*$G$4</f>
        <v>9.1395701624815349</v>
      </c>
      <c r="AA281" s="2">
        <v>935.29</v>
      </c>
      <c r="AB281" s="17">
        <f t="shared" ref="AB281" si="1351">AA281-AA280</f>
        <v>0.62000000000000455</v>
      </c>
      <c r="AC281" s="17"/>
      <c r="AD281" s="24">
        <f t="shared" ref="AD281" si="1352">C281+E281+G281+I281+K281+M281+AF281</f>
        <v>0.47000000000003617</v>
      </c>
      <c r="AE281" s="25">
        <v>140.80000000000001</v>
      </c>
      <c r="AF281" s="24">
        <f>AE281-AE280</f>
        <v>1.0000000000019327E-2</v>
      </c>
      <c r="AG281" s="2"/>
      <c r="AH281" s="29"/>
    </row>
    <row r="282" spans="1:34" x14ac:dyDescent="0.25">
      <c r="A282" s="5">
        <v>44871</v>
      </c>
      <c r="B282" s="2">
        <v>24.67</v>
      </c>
      <c r="C282" s="18">
        <f>B282-B281</f>
        <v>4.00000000000027E-2</v>
      </c>
      <c r="D282" s="67">
        <v>8.8000000000000007</v>
      </c>
      <c r="E282" s="107">
        <f t="shared" si="1310"/>
        <v>2.000000000000135E-2</v>
      </c>
      <c r="F282" s="2">
        <v>83.67</v>
      </c>
      <c r="G282" s="107">
        <f t="shared" si="1311"/>
        <v>0.21999999999999886</v>
      </c>
      <c r="H282" s="2">
        <v>2.87</v>
      </c>
      <c r="I282" s="107">
        <f t="shared" si="1312"/>
        <v>1.0000000000000231E-2</v>
      </c>
      <c r="J282" s="2">
        <v>86</v>
      </c>
      <c r="K282" s="18">
        <f t="shared" si="1313"/>
        <v>0.12999999999999545</v>
      </c>
      <c r="L282" s="2">
        <v>56.41</v>
      </c>
      <c r="M282" s="18">
        <f t="shared" ref="M282" si="1353">L282-L281</f>
        <v>6.9999999999993179E-2</v>
      </c>
      <c r="N282" s="18">
        <f t="shared" ref="N282" si="1354">G282-M282</f>
        <v>0.15000000000000568</v>
      </c>
      <c r="O282" s="114">
        <v>69700</v>
      </c>
      <c r="P282" s="68">
        <f t="shared" ref="P282" si="1355">O282-O281</f>
        <v>8</v>
      </c>
      <c r="Q282" s="18">
        <f t="shared" ref="Q282" si="1356">P282*$C$2</f>
        <v>2.3176000000000001</v>
      </c>
      <c r="R282" s="114">
        <v>1798</v>
      </c>
      <c r="S282" s="68">
        <f t="shared" ref="S282" si="1357">R282-R281</f>
        <v>3</v>
      </c>
      <c r="T282" s="17"/>
      <c r="U282" s="2">
        <v>34054</v>
      </c>
      <c r="V282" s="17">
        <f t="shared" ref="V282" si="1358">U282-U281</f>
        <v>4</v>
      </c>
      <c r="W282" s="18">
        <f t="shared" ref="W282" si="1359">V282*$C$3</f>
        <v>1.2</v>
      </c>
      <c r="X282" s="2">
        <v>12324</v>
      </c>
      <c r="Y282" s="108">
        <f t="shared" ref="Y282" si="1360">X282-X281</f>
        <v>7</v>
      </c>
      <c r="Z282" s="18">
        <f t="shared" ref="Z282" si="1361">Y282*$C$6*$G$4</f>
        <v>9.1395701624815349</v>
      </c>
      <c r="AA282" s="2">
        <v>936.04</v>
      </c>
      <c r="AB282" s="17">
        <f t="shared" ref="AB282" si="1362">AA282-AA281</f>
        <v>0.75</v>
      </c>
      <c r="AC282" s="17"/>
      <c r="AD282" s="24">
        <f t="shared" ref="AD282" si="1363">C282+E282+G282+I282+K282+M282+AF282</f>
        <v>0.48999999999999178</v>
      </c>
      <c r="AE282" s="25">
        <v>140.80000000000001</v>
      </c>
      <c r="AF282" s="24">
        <f>AE282-AE281</f>
        <v>0</v>
      </c>
      <c r="AG282" s="2"/>
      <c r="AH282" s="29"/>
    </row>
    <row r="283" spans="1:34" x14ac:dyDescent="0.25">
      <c r="A283" s="5">
        <v>44872</v>
      </c>
      <c r="B283" s="2">
        <v>24.72</v>
      </c>
      <c r="C283" s="18">
        <f>B283-B282</f>
        <v>4.9999999999997158E-2</v>
      </c>
      <c r="D283" s="67">
        <v>8.83</v>
      </c>
      <c r="E283" s="107">
        <f t="shared" si="1310"/>
        <v>2.9999999999999361E-2</v>
      </c>
      <c r="F283" s="2">
        <v>83.89</v>
      </c>
      <c r="G283" s="107">
        <f t="shared" si="1311"/>
        <v>0.21999999999999886</v>
      </c>
      <c r="H283" s="2">
        <v>2.87</v>
      </c>
      <c r="I283" s="107">
        <f t="shared" si="1312"/>
        <v>0</v>
      </c>
      <c r="J283" s="2">
        <v>86.13</v>
      </c>
      <c r="K283" s="18">
        <f t="shared" si="1313"/>
        <v>0.12999999999999545</v>
      </c>
      <c r="L283" s="2">
        <v>56.52</v>
      </c>
      <c r="M283" s="18">
        <f t="shared" ref="M283" si="1364">L283-L282</f>
        <v>0.11000000000000654</v>
      </c>
      <c r="N283" s="18">
        <f t="shared" ref="N283" si="1365">G283-M283</f>
        <v>0.10999999999999233</v>
      </c>
      <c r="O283" s="114">
        <v>69713</v>
      </c>
      <c r="P283" s="68">
        <f t="shared" ref="P283" si="1366">O283-O282</f>
        <v>13</v>
      </c>
      <c r="Q283" s="18">
        <f t="shared" ref="Q283" si="1367">P283*$C$2</f>
        <v>3.7661000000000002</v>
      </c>
      <c r="R283" s="114">
        <v>1803</v>
      </c>
      <c r="S283" s="68">
        <f t="shared" ref="S283" si="1368">R283-R282</f>
        <v>5</v>
      </c>
      <c r="T283" s="17"/>
      <c r="U283" s="2">
        <v>34061</v>
      </c>
      <c r="V283" s="17">
        <f t="shared" ref="V283" si="1369">U283-U282</f>
        <v>7</v>
      </c>
      <c r="W283" s="18">
        <f t="shared" ref="W283" si="1370">V283*$C$3</f>
        <v>2.1</v>
      </c>
      <c r="X283" s="2">
        <v>12331</v>
      </c>
      <c r="Y283" s="108">
        <f t="shared" ref="Y283" si="1371">X283-X282</f>
        <v>7</v>
      </c>
      <c r="Z283" s="18">
        <f t="shared" ref="Z283" si="1372">Y283*$C$6*$G$4</f>
        <v>9.1395701624815349</v>
      </c>
      <c r="AA283" s="2">
        <v>936.98</v>
      </c>
      <c r="AB283" s="17">
        <f t="shared" ref="AB283" si="1373">AA283-AA282</f>
        <v>0.94000000000005457</v>
      </c>
      <c r="AC283" s="17"/>
      <c r="AD283" s="24">
        <f t="shared" ref="AD283" si="1374">C283+E283+G283+I283+K283+M283+AF283</f>
        <v>0.53999999999999737</v>
      </c>
      <c r="AE283" s="25">
        <v>140.80000000000001</v>
      </c>
      <c r="AF283" s="24">
        <f>AE283-AE282</f>
        <v>0</v>
      </c>
      <c r="AG283" s="2"/>
      <c r="AH283" s="29"/>
    </row>
    <row r="284" spans="1:34" x14ac:dyDescent="0.25">
      <c r="A284" s="5">
        <v>44873</v>
      </c>
      <c r="B284" s="2"/>
      <c r="C284" s="20"/>
      <c r="D284" s="67"/>
      <c r="E284" s="67"/>
      <c r="F284" s="2"/>
      <c r="G284" s="67"/>
      <c r="H284" s="2"/>
      <c r="I284" s="20"/>
      <c r="J284" s="2"/>
      <c r="K284" s="20"/>
      <c r="L284" s="2"/>
      <c r="M284" s="20"/>
      <c r="N284" s="20"/>
      <c r="O284" s="114"/>
      <c r="P284" s="2"/>
      <c r="Q284" s="20"/>
      <c r="R284" s="114"/>
      <c r="S284" s="2"/>
      <c r="T284" s="2"/>
      <c r="U284" s="2"/>
      <c r="V284" s="2"/>
      <c r="W284" s="20"/>
      <c r="X284" s="2"/>
      <c r="Y284" s="131"/>
      <c r="Z284" s="20"/>
      <c r="AA284" s="2"/>
      <c r="AB284" s="25"/>
      <c r="AC284" s="2"/>
      <c r="AD284" s="25"/>
      <c r="AE284" s="25"/>
      <c r="AF284" s="2"/>
      <c r="AG284" s="2"/>
      <c r="AH284" s="29"/>
    </row>
    <row r="285" spans="1:34" x14ac:dyDescent="0.25">
      <c r="A285" s="5">
        <v>44874</v>
      </c>
      <c r="B285" s="2"/>
      <c r="C285" s="20"/>
      <c r="D285" s="67"/>
      <c r="E285" s="67"/>
      <c r="F285" s="2"/>
      <c r="G285" s="67"/>
      <c r="H285" s="2"/>
      <c r="I285" s="20"/>
      <c r="J285" s="2"/>
      <c r="K285" s="20"/>
      <c r="L285" s="2"/>
      <c r="M285" s="20"/>
      <c r="N285" s="20"/>
      <c r="O285" s="114"/>
      <c r="P285" s="2"/>
      <c r="Q285" s="20"/>
      <c r="R285" s="114"/>
      <c r="S285" s="2"/>
      <c r="T285" s="2"/>
      <c r="U285" s="2"/>
      <c r="V285" s="2"/>
      <c r="W285" s="20"/>
      <c r="X285" s="2"/>
      <c r="Y285" s="131"/>
      <c r="Z285" s="20"/>
      <c r="AA285" s="2"/>
      <c r="AB285" s="25"/>
      <c r="AC285" s="2"/>
      <c r="AD285" s="25"/>
      <c r="AE285" s="25"/>
      <c r="AF285" s="2"/>
      <c r="AG285" s="2"/>
      <c r="AH285" s="29"/>
    </row>
    <row r="286" spans="1:34" x14ac:dyDescent="0.25">
      <c r="A286" s="5">
        <v>44875</v>
      </c>
      <c r="B286" s="2"/>
      <c r="C286" s="20"/>
      <c r="D286" s="67"/>
      <c r="E286" s="67"/>
      <c r="F286" s="2"/>
      <c r="G286" s="67"/>
      <c r="H286" s="2"/>
      <c r="I286" s="20"/>
      <c r="J286" s="2"/>
      <c r="K286" s="20"/>
      <c r="L286" s="2"/>
      <c r="M286" s="20"/>
      <c r="N286" s="20"/>
      <c r="O286" s="114"/>
      <c r="P286" s="2"/>
      <c r="Q286" s="20"/>
      <c r="R286" s="114"/>
      <c r="S286" s="2"/>
      <c r="T286" s="2"/>
      <c r="U286" s="2"/>
      <c r="V286" s="2"/>
      <c r="W286" s="20"/>
      <c r="X286" s="2"/>
      <c r="Y286" s="131"/>
      <c r="Z286" s="20"/>
      <c r="AA286" s="2"/>
      <c r="AB286" s="25"/>
      <c r="AC286" s="2"/>
      <c r="AD286" s="25"/>
      <c r="AE286" s="25"/>
      <c r="AF286" s="2"/>
      <c r="AG286" s="2"/>
      <c r="AH286" s="29"/>
    </row>
    <row r="287" spans="1:34" x14ac:dyDescent="0.25">
      <c r="A287" s="5">
        <v>44876</v>
      </c>
      <c r="B287" s="2"/>
      <c r="C287" s="20"/>
      <c r="D287" s="67"/>
      <c r="E287" s="67"/>
      <c r="F287" s="2"/>
      <c r="G287" s="67"/>
      <c r="H287" s="2"/>
      <c r="I287" s="20"/>
      <c r="J287" s="2"/>
      <c r="K287" s="20"/>
      <c r="L287" s="2"/>
      <c r="M287" s="20"/>
      <c r="N287" s="20"/>
      <c r="O287" s="114"/>
      <c r="P287" s="2"/>
      <c r="Q287" s="20"/>
      <c r="R287" s="114"/>
      <c r="S287" s="2"/>
      <c r="T287" s="2"/>
      <c r="U287" s="2"/>
      <c r="V287" s="2"/>
      <c r="W287" s="20"/>
      <c r="X287" s="2"/>
      <c r="Y287" s="131"/>
      <c r="Z287" s="20"/>
      <c r="AA287" s="2"/>
      <c r="AB287" s="25"/>
      <c r="AC287" s="2"/>
      <c r="AD287" s="25"/>
      <c r="AE287" s="25"/>
      <c r="AF287" s="2"/>
      <c r="AG287" s="2"/>
      <c r="AH287" s="29"/>
    </row>
    <row r="288" spans="1:34" x14ac:dyDescent="0.25">
      <c r="A288" s="5">
        <v>44877</v>
      </c>
      <c r="B288" s="2"/>
      <c r="C288" s="20"/>
      <c r="D288" s="67"/>
      <c r="E288" s="67"/>
      <c r="F288" s="2"/>
      <c r="G288" s="67"/>
      <c r="H288" s="2"/>
      <c r="I288" s="20"/>
      <c r="J288" s="2"/>
      <c r="K288" s="20"/>
      <c r="L288" s="2"/>
      <c r="M288" s="20"/>
      <c r="N288" s="20"/>
      <c r="O288" s="114"/>
      <c r="P288" s="2"/>
      <c r="Q288" s="20"/>
      <c r="R288" s="114"/>
      <c r="S288" s="2"/>
      <c r="T288" s="2"/>
      <c r="U288" s="2"/>
      <c r="V288" s="2"/>
      <c r="W288" s="20"/>
      <c r="X288" s="2"/>
      <c r="Y288" s="131"/>
      <c r="Z288" s="20"/>
      <c r="AA288" s="2"/>
      <c r="AB288" s="25"/>
      <c r="AC288" s="2"/>
      <c r="AD288" s="25"/>
      <c r="AE288" s="25"/>
      <c r="AF288" s="2"/>
      <c r="AG288" s="2"/>
      <c r="AH288" s="29"/>
    </row>
    <row r="289" spans="1:34" x14ac:dyDescent="0.25">
      <c r="A289" s="5">
        <v>44878</v>
      </c>
      <c r="B289" s="2"/>
      <c r="C289" s="20"/>
      <c r="D289" s="67"/>
      <c r="E289" s="67"/>
      <c r="F289" s="2"/>
      <c r="G289" s="67"/>
      <c r="H289" s="2"/>
      <c r="I289" s="20"/>
      <c r="J289" s="2"/>
      <c r="K289" s="20"/>
      <c r="L289" s="2"/>
      <c r="M289" s="20"/>
      <c r="N289" s="20"/>
      <c r="O289" s="114"/>
      <c r="P289" s="2"/>
      <c r="Q289" s="20"/>
      <c r="R289" s="114"/>
      <c r="S289" s="2"/>
      <c r="T289" s="2"/>
      <c r="U289" s="2"/>
      <c r="V289" s="2"/>
      <c r="W289" s="20"/>
      <c r="X289" s="2"/>
      <c r="Y289" s="131"/>
      <c r="Z289" s="20"/>
      <c r="AA289" s="2"/>
      <c r="AB289" s="25"/>
      <c r="AC289" s="2"/>
      <c r="AD289" s="25"/>
      <c r="AE289" s="25"/>
      <c r="AF289" s="2"/>
      <c r="AG289" s="2"/>
      <c r="AH289" s="29"/>
    </row>
    <row r="290" spans="1:34" x14ac:dyDescent="0.25">
      <c r="A290" s="5">
        <v>44879</v>
      </c>
      <c r="B290" s="2"/>
      <c r="C290" s="20"/>
      <c r="D290" s="67"/>
      <c r="E290" s="67"/>
      <c r="F290" s="2"/>
      <c r="G290" s="67"/>
      <c r="H290" s="2"/>
      <c r="I290" s="20"/>
      <c r="J290" s="2"/>
      <c r="K290" s="20"/>
      <c r="L290" s="2"/>
      <c r="M290" s="20"/>
      <c r="N290" s="20"/>
      <c r="O290" s="114"/>
      <c r="P290" s="2"/>
      <c r="Q290" s="20"/>
      <c r="R290" s="114"/>
      <c r="S290" s="2"/>
      <c r="T290" s="2"/>
      <c r="U290" s="2"/>
      <c r="V290" s="2"/>
      <c r="W290" s="20"/>
      <c r="X290" s="2"/>
      <c r="Y290" s="131"/>
      <c r="Z290" s="20"/>
      <c r="AA290" s="2"/>
      <c r="AB290" s="25"/>
      <c r="AC290" s="2"/>
      <c r="AD290" s="25"/>
      <c r="AE290" s="25"/>
      <c r="AF290" s="2"/>
      <c r="AG290" s="2"/>
      <c r="AH290" s="29"/>
    </row>
    <row r="291" spans="1:34" x14ac:dyDescent="0.25">
      <c r="A291" s="5">
        <v>44880</v>
      </c>
      <c r="B291" s="2"/>
      <c r="C291" s="20"/>
      <c r="D291" s="67"/>
      <c r="E291" s="67"/>
      <c r="F291" s="2"/>
      <c r="G291" s="67"/>
      <c r="H291" s="2"/>
      <c r="I291" s="20"/>
      <c r="J291" s="2"/>
      <c r="K291" s="20"/>
      <c r="L291" s="2"/>
      <c r="M291" s="20"/>
      <c r="N291" s="20"/>
      <c r="O291" s="114"/>
      <c r="P291" s="2"/>
      <c r="Q291" s="20"/>
      <c r="R291" s="114"/>
      <c r="S291" s="2"/>
      <c r="T291" s="2"/>
      <c r="U291" s="2"/>
      <c r="V291" s="2"/>
      <c r="W291" s="20"/>
      <c r="X291" s="2"/>
      <c r="Y291" s="131"/>
      <c r="Z291" s="20"/>
      <c r="AA291" s="2"/>
      <c r="AB291" s="25"/>
      <c r="AC291" s="2"/>
      <c r="AD291" s="25"/>
      <c r="AE291" s="25"/>
      <c r="AF291" s="2"/>
      <c r="AG291" s="2"/>
      <c r="AH291" s="29"/>
    </row>
    <row r="292" spans="1:34" x14ac:dyDescent="0.25">
      <c r="A292" s="5">
        <v>44881</v>
      </c>
      <c r="B292" s="2"/>
      <c r="C292" s="20"/>
      <c r="D292" s="67"/>
      <c r="E292" s="67"/>
      <c r="F292" s="2"/>
      <c r="G292" s="67"/>
      <c r="H292" s="2"/>
      <c r="I292" s="20"/>
      <c r="J292" s="2"/>
      <c r="K292" s="20"/>
      <c r="L292" s="2"/>
      <c r="M292" s="20"/>
      <c r="N292" s="20"/>
      <c r="O292" s="114"/>
      <c r="P292" s="2"/>
      <c r="Q292" s="20"/>
      <c r="R292" s="114"/>
      <c r="S292" s="2"/>
      <c r="T292" s="2"/>
      <c r="U292" s="2"/>
      <c r="V292" s="2"/>
      <c r="W292" s="20"/>
      <c r="X292" s="2"/>
      <c r="Y292" s="131"/>
      <c r="Z292" s="20"/>
      <c r="AA292" s="2"/>
      <c r="AB292" s="25"/>
      <c r="AC292" s="2"/>
      <c r="AD292" s="25"/>
      <c r="AE292" s="25"/>
      <c r="AF292" s="2"/>
      <c r="AG292" s="2"/>
      <c r="AH292" s="29"/>
    </row>
    <row r="293" spans="1:34" x14ac:dyDescent="0.25">
      <c r="A293" s="5">
        <v>44882</v>
      </c>
      <c r="B293" s="2"/>
      <c r="C293" s="20"/>
      <c r="D293" s="67"/>
      <c r="E293" s="67"/>
      <c r="F293" s="2"/>
      <c r="G293" s="67"/>
      <c r="H293" s="2"/>
      <c r="I293" s="20"/>
      <c r="J293" s="2"/>
      <c r="K293" s="20"/>
      <c r="L293" s="2"/>
      <c r="M293" s="20"/>
      <c r="N293" s="20"/>
      <c r="O293" s="114"/>
      <c r="P293" s="2"/>
      <c r="Q293" s="20"/>
      <c r="R293" s="114"/>
      <c r="S293" s="2"/>
      <c r="T293" s="2"/>
      <c r="U293" s="2"/>
      <c r="V293" s="2"/>
      <c r="W293" s="20"/>
      <c r="X293" s="2"/>
      <c r="Y293" s="131"/>
      <c r="Z293" s="20"/>
      <c r="AA293" s="2"/>
      <c r="AB293" s="25"/>
      <c r="AC293" s="2"/>
      <c r="AD293" s="25"/>
      <c r="AE293" s="25"/>
      <c r="AF293" s="2"/>
      <c r="AG293" s="2"/>
      <c r="AH293" s="29"/>
    </row>
    <row r="294" spans="1:34" x14ac:dyDescent="0.25">
      <c r="A294" s="5">
        <v>44883</v>
      </c>
      <c r="B294" s="2"/>
      <c r="C294" s="20"/>
      <c r="D294" s="67"/>
      <c r="E294" s="67"/>
      <c r="F294" s="2"/>
      <c r="G294" s="67"/>
      <c r="H294" s="2"/>
      <c r="I294" s="20"/>
      <c r="J294" s="2"/>
      <c r="K294" s="20"/>
      <c r="L294" s="2"/>
      <c r="M294" s="20"/>
      <c r="N294" s="20"/>
      <c r="O294" s="114"/>
      <c r="P294" s="2"/>
      <c r="Q294" s="20"/>
      <c r="R294" s="114"/>
      <c r="S294" s="2"/>
      <c r="T294" s="2"/>
      <c r="U294" s="2"/>
      <c r="V294" s="2"/>
      <c r="W294" s="20"/>
      <c r="X294" s="2"/>
      <c r="Y294" s="131"/>
      <c r="Z294" s="20"/>
      <c r="AA294" s="2"/>
      <c r="AB294" s="25"/>
      <c r="AC294" s="2"/>
      <c r="AD294" s="25"/>
      <c r="AE294" s="25"/>
      <c r="AF294" s="2"/>
      <c r="AG294" s="2"/>
      <c r="AH294" s="29"/>
    </row>
    <row r="295" spans="1:34" x14ac:dyDescent="0.25">
      <c r="A295" s="5">
        <v>44884</v>
      </c>
      <c r="B295" s="2"/>
      <c r="C295" s="20"/>
      <c r="D295" s="67"/>
      <c r="E295" s="67"/>
      <c r="F295" s="2"/>
      <c r="G295" s="67"/>
      <c r="H295" s="2"/>
      <c r="I295" s="20"/>
      <c r="J295" s="2"/>
      <c r="K295" s="20"/>
      <c r="L295" s="2"/>
      <c r="M295" s="20"/>
      <c r="N295" s="20"/>
      <c r="O295" s="114"/>
      <c r="P295" s="2"/>
      <c r="Q295" s="20"/>
      <c r="R295" s="114"/>
      <c r="S295" s="2"/>
      <c r="T295" s="2"/>
      <c r="U295" s="2"/>
      <c r="V295" s="2"/>
      <c r="W295" s="20"/>
      <c r="X295" s="2"/>
      <c r="Y295" s="131"/>
      <c r="Z295" s="20"/>
      <c r="AA295" s="2"/>
      <c r="AB295" s="25"/>
      <c r="AC295" s="2"/>
      <c r="AD295" s="25"/>
      <c r="AE295" s="25"/>
      <c r="AF295" s="2"/>
      <c r="AG295" s="2"/>
      <c r="AH295" s="29"/>
    </row>
    <row r="296" spans="1:34" x14ac:dyDescent="0.25">
      <c r="A296" s="5"/>
      <c r="B296" s="2"/>
      <c r="C296" s="20"/>
      <c r="D296" s="67"/>
      <c r="E296" s="67"/>
      <c r="F296" s="2"/>
      <c r="G296" s="67"/>
      <c r="H296" s="2"/>
      <c r="I296" s="20"/>
      <c r="J296" s="2"/>
      <c r="K296" s="20"/>
      <c r="L296" s="2"/>
      <c r="M296" s="20"/>
      <c r="N296" s="20"/>
      <c r="O296" s="114"/>
      <c r="P296" s="2"/>
      <c r="Q296" s="20"/>
      <c r="R296" s="114"/>
      <c r="S296" s="2"/>
      <c r="T296" s="2"/>
      <c r="U296" s="2"/>
      <c r="V296" s="2"/>
      <c r="W296" s="20"/>
      <c r="X296" s="2"/>
      <c r="Y296" s="131"/>
      <c r="Z296" s="20"/>
      <c r="AA296" s="2"/>
      <c r="AB296" s="25"/>
      <c r="AC296" s="2"/>
      <c r="AD296" s="25"/>
      <c r="AE296" s="25"/>
      <c r="AF296" s="2"/>
      <c r="AG296" s="2"/>
      <c r="AH296" s="29"/>
    </row>
    <row r="297" spans="1:34" x14ac:dyDescent="0.25">
      <c r="A297" s="5"/>
      <c r="B297" s="2"/>
      <c r="C297" s="20"/>
      <c r="D297" s="67"/>
      <c r="E297" s="67"/>
      <c r="F297" s="2"/>
      <c r="G297" s="67"/>
      <c r="H297" s="2"/>
      <c r="I297" s="20"/>
      <c r="J297" s="2"/>
      <c r="K297" s="20"/>
      <c r="L297" s="2"/>
      <c r="M297" s="20"/>
      <c r="N297" s="20"/>
      <c r="O297" s="114"/>
      <c r="P297" s="2"/>
      <c r="Q297" s="20"/>
      <c r="R297" s="114"/>
      <c r="S297" s="2"/>
      <c r="T297" s="2"/>
      <c r="U297" s="2"/>
      <c r="V297" s="2"/>
      <c r="W297" s="20"/>
      <c r="X297" s="2"/>
      <c r="Y297" s="131"/>
      <c r="Z297" s="20"/>
      <c r="AA297" s="2"/>
      <c r="AB297" s="25"/>
      <c r="AC297" s="2"/>
      <c r="AD297" s="25"/>
      <c r="AE297" s="25"/>
      <c r="AF297" s="2"/>
      <c r="AG297" s="2"/>
      <c r="AH297" s="29"/>
    </row>
    <row r="298" spans="1:34" x14ac:dyDescent="0.25">
      <c r="A298" s="5"/>
      <c r="B298" s="2"/>
      <c r="C298" s="20"/>
      <c r="D298" s="67"/>
      <c r="E298" s="67"/>
      <c r="F298" s="2"/>
      <c r="G298" s="67"/>
      <c r="H298" s="2"/>
      <c r="I298" s="20"/>
      <c r="J298" s="2"/>
      <c r="K298" s="20"/>
      <c r="L298" s="2"/>
      <c r="M298" s="20"/>
      <c r="N298" s="20"/>
      <c r="O298" s="114"/>
      <c r="P298" s="2"/>
      <c r="Q298" s="20"/>
      <c r="R298" s="114"/>
      <c r="S298" s="2"/>
      <c r="T298" s="2"/>
      <c r="U298" s="2"/>
      <c r="V298" s="2"/>
      <c r="W298" s="20"/>
      <c r="X298" s="2"/>
      <c r="Y298" s="131"/>
      <c r="Z298" s="20"/>
      <c r="AA298" s="2"/>
      <c r="AB298" s="25"/>
      <c r="AC298" s="2"/>
      <c r="AD298" s="25"/>
      <c r="AE298" s="25"/>
      <c r="AF298" s="2"/>
      <c r="AG298" s="2"/>
      <c r="AH298" s="29"/>
    </row>
    <row r="299" spans="1:34" x14ac:dyDescent="0.25">
      <c r="A299" s="5"/>
      <c r="B299" s="2"/>
      <c r="C299" s="20"/>
      <c r="D299" s="67"/>
      <c r="E299" s="67"/>
      <c r="F299" s="2"/>
      <c r="G299" s="67"/>
      <c r="H299" s="2"/>
      <c r="I299" s="20"/>
      <c r="J299" s="2"/>
      <c r="K299" s="20"/>
      <c r="L299" s="2"/>
      <c r="M299" s="20"/>
      <c r="N299" s="20"/>
      <c r="O299" s="114"/>
      <c r="P299" s="2"/>
      <c r="Q299" s="20"/>
      <c r="R299" s="114"/>
      <c r="S299" s="2"/>
      <c r="T299" s="2"/>
      <c r="U299" s="2"/>
      <c r="V299" s="2"/>
      <c r="W299" s="20"/>
      <c r="X299" s="2"/>
      <c r="Y299" s="131"/>
      <c r="Z299" s="20"/>
      <c r="AA299" s="2"/>
      <c r="AB299" s="25"/>
      <c r="AC299" s="2"/>
      <c r="AD299" s="25"/>
      <c r="AE299" s="25"/>
      <c r="AF299" s="2"/>
      <c r="AG299" s="2"/>
      <c r="AH299" s="29"/>
    </row>
    <row r="300" spans="1:34" x14ac:dyDescent="0.25">
      <c r="A300" s="5"/>
      <c r="B300" s="2"/>
      <c r="C300" s="20"/>
      <c r="D300" s="67"/>
      <c r="E300" s="67"/>
      <c r="F300" s="2"/>
      <c r="G300" s="67"/>
      <c r="H300" s="2"/>
      <c r="I300" s="20"/>
      <c r="J300" s="2"/>
      <c r="K300" s="20"/>
      <c r="L300" s="2"/>
      <c r="M300" s="20"/>
      <c r="N300" s="20"/>
      <c r="O300" s="114"/>
      <c r="P300" s="2"/>
      <c r="Q300" s="20"/>
      <c r="R300" s="114"/>
      <c r="S300" s="2"/>
      <c r="T300" s="2"/>
      <c r="U300" s="2"/>
      <c r="V300" s="2"/>
      <c r="W300" s="20"/>
      <c r="X300" s="2"/>
      <c r="Y300" s="131"/>
      <c r="Z300" s="20"/>
      <c r="AA300" s="2"/>
      <c r="AB300" s="25"/>
      <c r="AC300" s="2"/>
      <c r="AD300" s="25"/>
      <c r="AE300" s="25"/>
      <c r="AF300" s="2"/>
      <c r="AG300" s="2"/>
      <c r="AH300" s="29"/>
    </row>
    <row r="301" spans="1:34" x14ac:dyDescent="0.25">
      <c r="A301" s="5"/>
      <c r="B301" s="2"/>
      <c r="C301" s="20"/>
      <c r="D301" s="67"/>
      <c r="E301" s="67"/>
      <c r="F301" s="2"/>
      <c r="G301" s="67"/>
      <c r="H301" s="2"/>
      <c r="I301" s="20"/>
      <c r="J301" s="2"/>
      <c r="K301" s="20"/>
      <c r="L301" s="2"/>
      <c r="M301" s="20"/>
      <c r="N301" s="20"/>
      <c r="O301" s="114"/>
      <c r="P301" s="2"/>
      <c r="Q301" s="20"/>
      <c r="R301" s="114"/>
      <c r="S301" s="2"/>
      <c r="T301" s="2"/>
      <c r="U301" s="2"/>
      <c r="V301" s="2"/>
      <c r="W301" s="20"/>
      <c r="X301" s="2"/>
      <c r="Y301" s="131"/>
      <c r="Z301" s="20"/>
      <c r="AA301" s="2"/>
      <c r="AB301" s="25"/>
      <c r="AC301" s="2"/>
      <c r="AD301" s="25"/>
      <c r="AE301" s="25"/>
      <c r="AF301" s="2"/>
      <c r="AG301" s="2"/>
      <c r="AH301" s="29"/>
    </row>
    <row r="302" spans="1:34" x14ac:dyDescent="0.25">
      <c r="A302" s="5"/>
      <c r="B302" s="2"/>
      <c r="C302" s="20"/>
      <c r="D302" s="67"/>
      <c r="E302" s="67"/>
      <c r="F302" s="2"/>
      <c r="G302" s="67"/>
      <c r="H302" s="2"/>
      <c r="I302" s="20"/>
      <c r="J302" s="2"/>
      <c r="K302" s="20"/>
      <c r="L302" s="2"/>
      <c r="M302" s="20"/>
      <c r="N302" s="20"/>
      <c r="O302" s="114"/>
      <c r="P302" s="2"/>
      <c r="Q302" s="20"/>
      <c r="R302" s="114"/>
      <c r="S302" s="2"/>
      <c r="T302" s="2"/>
      <c r="U302" s="2"/>
      <c r="V302" s="2"/>
      <c r="W302" s="20"/>
      <c r="X302" s="2"/>
      <c r="Y302" s="131"/>
      <c r="Z302" s="20"/>
      <c r="AA302" s="2"/>
      <c r="AB302" s="25"/>
      <c r="AC302" s="2"/>
      <c r="AD302" s="25"/>
      <c r="AE302" s="25"/>
      <c r="AF302" s="2"/>
      <c r="AG302" s="2"/>
      <c r="AH302" s="29"/>
    </row>
    <row r="303" spans="1:34" x14ac:dyDescent="0.25">
      <c r="A303" s="5"/>
      <c r="B303" s="2"/>
      <c r="C303" s="20"/>
      <c r="D303" s="67"/>
      <c r="E303" s="67"/>
      <c r="F303" s="2"/>
      <c r="G303" s="67"/>
      <c r="H303" s="2"/>
      <c r="I303" s="20"/>
      <c r="J303" s="2"/>
      <c r="K303" s="20"/>
      <c r="L303" s="2"/>
      <c r="M303" s="20"/>
      <c r="N303" s="20"/>
      <c r="O303" s="114"/>
      <c r="P303" s="2"/>
      <c r="Q303" s="20"/>
      <c r="R303" s="114"/>
      <c r="S303" s="2"/>
      <c r="T303" s="2"/>
      <c r="U303" s="2"/>
      <c r="V303" s="2"/>
      <c r="W303" s="20"/>
      <c r="X303" s="2"/>
      <c r="Y303" s="131"/>
      <c r="Z303" s="20"/>
      <c r="AA303" s="2"/>
      <c r="AB303" s="25"/>
      <c r="AC303" s="2"/>
      <c r="AD303" s="25"/>
      <c r="AE303" s="25"/>
      <c r="AF303" s="2"/>
      <c r="AG303" s="2"/>
      <c r="AH303" s="29"/>
    </row>
    <row r="304" spans="1:34" x14ac:dyDescent="0.25">
      <c r="A304" s="5"/>
      <c r="B304" s="2"/>
      <c r="C304" s="20"/>
      <c r="D304" s="67"/>
      <c r="E304" s="67"/>
      <c r="F304" s="2"/>
      <c r="G304" s="67"/>
      <c r="H304" s="2"/>
      <c r="I304" s="20"/>
      <c r="J304" s="2"/>
      <c r="K304" s="20"/>
      <c r="L304" s="2"/>
      <c r="M304" s="20"/>
      <c r="N304" s="20"/>
      <c r="O304" s="114"/>
      <c r="P304" s="2"/>
      <c r="Q304" s="20"/>
      <c r="R304" s="114"/>
      <c r="S304" s="2"/>
      <c r="T304" s="2"/>
      <c r="U304" s="2"/>
      <c r="V304" s="2"/>
      <c r="W304" s="20"/>
      <c r="X304" s="2"/>
      <c r="Y304" s="131"/>
      <c r="Z304" s="20"/>
      <c r="AA304" s="2"/>
      <c r="AB304" s="25"/>
      <c r="AC304" s="2"/>
      <c r="AD304" s="25"/>
      <c r="AE304" s="25"/>
      <c r="AF304" s="2"/>
      <c r="AG304" s="2"/>
      <c r="AH304" s="29"/>
    </row>
    <row r="305" spans="1:34" x14ac:dyDescent="0.25">
      <c r="A305" s="5"/>
      <c r="B305" s="2"/>
      <c r="C305" s="20"/>
      <c r="D305" s="67"/>
      <c r="E305" s="67"/>
      <c r="F305" s="2"/>
      <c r="G305" s="67"/>
      <c r="H305" s="2"/>
      <c r="I305" s="20"/>
      <c r="J305" s="2"/>
      <c r="K305" s="20"/>
      <c r="L305" s="2"/>
      <c r="M305" s="20"/>
      <c r="N305" s="20"/>
      <c r="O305" s="114"/>
      <c r="P305" s="2"/>
      <c r="Q305" s="20"/>
      <c r="R305" s="114"/>
      <c r="S305" s="2"/>
      <c r="T305" s="2"/>
      <c r="U305" s="2"/>
      <c r="V305" s="2"/>
      <c r="W305" s="20"/>
      <c r="X305" s="2"/>
      <c r="Y305" s="131"/>
      <c r="Z305" s="20"/>
      <c r="AA305" s="2"/>
      <c r="AB305" s="25"/>
      <c r="AC305" s="2"/>
      <c r="AD305" s="25"/>
      <c r="AE305" s="25"/>
      <c r="AF305" s="2"/>
      <c r="AG305" s="2"/>
      <c r="AH305" s="29"/>
    </row>
    <row r="306" spans="1:34" x14ac:dyDescent="0.25">
      <c r="A306" s="5"/>
      <c r="B306" s="2"/>
      <c r="C306" s="20"/>
      <c r="D306" s="67"/>
      <c r="E306" s="67"/>
      <c r="F306" s="2"/>
      <c r="G306" s="67"/>
      <c r="H306" s="2"/>
      <c r="I306" s="20"/>
      <c r="J306" s="2"/>
      <c r="K306" s="20"/>
      <c r="L306" s="2"/>
      <c r="M306" s="20"/>
      <c r="N306" s="20"/>
      <c r="O306" s="114"/>
      <c r="P306" s="2"/>
      <c r="Q306" s="20"/>
      <c r="R306" s="114"/>
      <c r="S306" s="2"/>
      <c r="T306" s="2"/>
      <c r="U306" s="2"/>
      <c r="V306" s="2"/>
      <c r="W306" s="20"/>
      <c r="X306" s="2"/>
      <c r="Y306" s="131"/>
      <c r="Z306" s="20"/>
      <c r="AA306" s="2"/>
      <c r="AB306" s="25"/>
      <c r="AC306" s="2"/>
      <c r="AD306" s="25"/>
      <c r="AE306" s="25"/>
      <c r="AF306" s="2"/>
      <c r="AG306" s="2"/>
      <c r="AH306" s="29"/>
    </row>
    <row r="307" spans="1:34" x14ac:dyDescent="0.25">
      <c r="A307" s="5"/>
      <c r="B307" s="2"/>
      <c r="C307" s="20"/>
      <c r="D307" s="67"/>
      <c r="E307" s="67"/>
      <c r="F307" s="2"/>
      <c r="G307" s="67"/>
      <c r="H307" s="2"/>
      <c r="I307" s="20"/>
      <c r="J307" s="2"/>
      <c r="K307" s="20"/>
      <c r="L307" s="2"/>
      <c r="M307" s="20"/>
      <c r="N307" s="20"/>
      <c r="O307" s="114"/>
      <c r="P307" s="2"/>
      <c r="Q307" s="20"/>
      <c r="R307" s="114"/>
      <c r="S307" s="2"/>
      <c r="T307" s="2"/>
      <c r="U307" s="2"/>
      <c r="V307" s="2"/>
      <c r="W307" s="20"/>
      <c r="X307" s="2"/>
      <c r="Y307" s="131"/>
      <c r="Z307" s="20"/>
      <c r="AA307" s="2"/>
      <c r="AB307" s="25"/>
      <c r="AC307" s="2"/>
      <c r="AD307" s="25"/>
      <c r="AE307" s="25"/>
      <c r="AF307" s="2"/>
      <c r="AG307" s="2"/>
      <c r="AH307" s="29"/>
    </row>
    <row r="308" spans="1:34" x14ac:dyDescent="0.25">
      <c r="A308" s="5"/>
      <c r="B308" s="2"/>
      <c r="C308" s="20"/>
      <c r="D308" s="67"/>
      <c r="E308" s="67"/>
      <c r="F308" s="2"/>
      <c r="G308" s="67"/>
      <c r="H308" s="2"/>
      <c r="I308" s="20"/>
      <c r="J308" s="2"/>
      <c r="K308" s="20"/>
      <c r="L308" s="2"/>
      <c r="M308" s="20"/>
      <c r="N308" s="20"/>
      <c r="O308" s="114"/>
      <c r="P308" s="2"/>
      <c r="Q308" s="20"/>
      <c r="R308" s="114"/>
      <c r="S308" s="2"/>
      <c r="T308" s="2"/>
      <c r="U308" s="2"/>
      <c r="V308" s="2"/>
      <c r="W308" s="20"/>
      <c r="X308" s="2"/>
      <c r="Y308" s="131"/>
      <c r="Z308" s="20"/>
      <c r="AA308" s="2"/>
      <c r="AB308" s="25"/>
      <c r="AC308" s="2"/>
      <c r="AD308" s="25"/>
      <c r="AE308" s="25"/>
      <c r="AF308" s="2"/>
      <c r="AG308" s="2"/>
      <c r="AH308" s="29"/>
    </row>
    <row r="309" spans="1:34" x14ac:dyDescent="0.25">
      <c r="A309" s="5"/>
      <c r="B309" s="2"/>
      <c r="C309" s="20"/>
      <c r="D309" s="67"/>
      <c r="E309" s="67"/>
      <c r="F309" s="2"/>
      <c r="G309" s="67"/>
      <c r="H309" s="2"/>
      <c r="I309" s="20"/>
      <c r="J309" s="2"/>
      <c r="K309" s="20"/>
      <c r="L309" s="2"/>
      <c r="M309" s="20"/>
      <c r="N309" s="20"/>
      <c r="O309" s="114"/>
      <c r="P309" s="2"/>
      <c r="Q309" s="20"/>
      <c r="R309" s="114"/>
      <c r="S309" s="2"/>
      <c r="T309" s="2"/>
      <c r="U309" s="2"/>
      <c r="V309" s="2"/>
      <c r="W309" s="20"/>
      <c r="X309" s="2"/>
      <c r="Y309" s="131"/>
      <c r="Z309" s="20"/>
      <c r="AA309" s="2"/>
      <c r="AB309" s="25"/>
      <c r="AC309" s="2"/>
      <c r="AD309" s="25"/>
      <c r="AE309" s="25"/>
      <c r="AF309" s="2"/>
      <c r="AG309" s="2"/>
      <c r="AH309" s="29"/>
    </row>
    <row r="310" spans="1:34" x14ac:dyDescent="0.25">
      <c r="A310" s="5"/>
      <c r="B310" s="2"/>
      <c r="C310" s="20"/>
      <c r="D310" s="67"/>
      <c r="E310" s="67"/>
      <c r="F310" s="2"/>
      <c r="G310" s="67"/>
      <c r="H310" s="2"/>
      <c r="I310" s="20"/>
      <c r="J310" s="2"/>
      <c r="K310" s="20"/>
      <c r="L310" s="2"/>
      <c r="M310" s="20"/>
      <c r="N310" s="20"/>
      <c r="O310" s="114"/>
      <c r="P310" s="2"/>
      <c r="Q310" s="20"/>
      <c r="R310" s="114"/>
      <c r="S310" s="2"/>
      <c r="T310" s="2"/>
      <c r="U310" s="2"/>
      <c r="V310" s="2"/>
      <c r="W310" s="20"/>
      <c r="X310" s="2"/>
      <c r="Y310" s="131"/>
      <c r="Z310" s="20"/>
      <c r="AA310" s="2"/>
      <c r="AB310" s="25"/>
      <c r="AC310" s="2"/>
      <c r="AD310" s="25"/>
      <c r="AE310" s="25"/>
      <c r="AF310" s="2"/>
      <c r="AG310" s="2"/>
      <c r="AH310" s="29"/>
    </row>
    <row r="311" spans="1:34" x14ac:dyDescent="0.25">
      <c r="A311" s="5"/>
      <c r="B311" s="2"/>
      <c r="C311" s="20"/>
      <c r="D311" s="67"/>
      <c r="E311" s="67"/>
      <c r="F311" s="2"/>
      <c r="G311" s="67"/>
      <c r="H311" s="2"/>
      <c r="I311" s="20"/>
      <c r="J311" s="2"/>
      <c r="K311" s="20"/>
      <c r="L311" s="2"/>
      <c r="M311" s="20"/>
      <c r="N311" s="20"/>
      <c r="O311" s="114"/>
      <c r="P311" s="2"/>
      <c r="Q311" s="20"/>
      <c r="R311" s="114"/>
      <c r="S311" s="2"/>
      <c r="T311" s="2"/>
      <c r="U311" s="2"/>
      <c r="V311" s="2"/>
      <c r="W311" s="20"/>
      <c r="X311" s="2"/>
      <c r="Y311" s="131"/>
      <c r="Z311" s="20"/>
      <c r="AA311" s="2"/>
      <c r="AB311" s="25"/>
      <c r="AC311" s="2"/>
      <c r="AD311" s="25"/>
      <c r="AE311" s="25"/>
      <c r="AF311" s="2"/>
      <c r="AG311" s="2"/>
      <c r="AH311" s="29"/>
    </row>
    <row r="312" spans="1:34" x14ac:dyDescent="0.25">
      <c r="A312" s="5"/>
      <c r="B312" s="2"/>
      <c r="C312" s="20"/>
      <c r="D312" s="67"/>
      <c r="E312" s="67"/>
      <c r="F312" s="2"/>
      <c r="G312" s="67"/>
      <c r="H312" s="2"/>
      <c r="I312" s="20"/>
      <c r="J312" s="2"/>
      <c r="K312" s="20"/>
      <c r="L312" s="2"/>
      <c r="M312" s="20"/>
      <c r="N312" s="20"/>
      <c r="O312" s="114"/>
      <c r="P312" s="2"/>
      <c r="Q312" s="20"/>
      <c r="R312" s="114"/>
      <c r="S312" s="2"/>
      <c r="T312" s="2"/>
      <c r="U312" s="2"/>
      <c r="V312" s="2"/>
      <c r="W312" s="20"/>
      <c r="X312" s="2"/>
      <c r="Y312" s="131"/>
      <c r="Z312" s="20"/>
      <c r="AA312" s="2"/>
      <c r="AB312" s="25"/>
      <c r="AC312" s="2"/>
      <c r="AD312" s="25"/>
      <c r="AE312" s="25"/>
      <c r="AF312" s="2"/>
      <c r="AG312" s="2"/>
      <c r="AH312" s="29"/>
    </row>
    <row r="313" spans="1:34" x14ac:dyDescent="0.25">
      <c r="A313" s="5"/>
      <c r="B313" s="2"/>
      <c r="C313" s="20"/>
      <c r="D313" s="67"/>
      <c r="E313" s="67"/>
      <c r="F313" s="2"/>
      <c r="G313" s="67"/>
      <c r="H313" s="2"/>
      <c r="I313" s="20"/>
      <c r="J313" s="2"/>
      <c r="K313" s="20"/>
      <c r="L313" s="2"/>
      <c r="M313" s="20"/>
      <c r="N313" s="20"/>
      <c r="O313" s="114"/>
      <c r="P313" s="2"/>
      <c r="Q313" s="20"/>
      <c r="R313" s="114"/>
      <c r="S313" s="2"/>
      <c r="T313" s="2"/>
      <c r="U313" s="2"/>
      <c r="V313" s="2"/>
      <c r="W313" s="20"/>
      <c r="X313" s="2"/>
      <c r="Y313" s="131"/>
      <c r="Z313" s="20"/>
      <c r="AA313" s="2"/>
      <c r="AB313" s="25"/>
      <c r="AC313" s="2"/>
      <c r="AD313" s="25"/>
      <c r="AE313" s="25"/>
      <c r="AF313" s="2"/>
      <c r="AG313" s="2"/>
      <c r="AH313" s="29"/>
    </row>
    <row r="314" spans="1:34" x14ac:dyDescent="0.25">
      <c r="A314" s="5"/>
      <c r="B314" s="2"/>
      <c r="C314" s="20"/>
      <c r="D314" s="67"/>
      <c r="E314" s="67"/>
      <c r="F314" s="2"/>
      <c r="G314" s="67"/>
      <c r="H314" s="2"/>
      <c r="I314" s="20"/>
      <c r="J314" s="2"/>
      <c r="K314" s="20"/>
      <c r="L314" s="2"/>
      <c r="M314" s="20"/>
      <c r="N314" s="20"/>
      <c r="O314" s="114"/>
      <c r="P314" s="2"/>
      <c r="Q314" s="20"/>
      <c r="R314" s="114"/>
      <c r="S314" s="2"/>
      <c r="T314" s="2"/>
      <c r="U314" s="2"/>
      <c r="V314" s="2"/>
      <c r="W314" s="20"/>
      <c r="X314" s="2"/>
      <c r="Y314" s="131"/>
      <c r="Z314" s="20"/>
      <c r="AA314" s="2"/>
      <c r="AB314" s="25"/>
      <c r="AC314" s="2"/>
      <c r="AD314" s="25"/>
      <c r="AE314" s="25"/>
      <c r="AF314" s="2"/>
      <c r="AG314" s="2"/>
      <c r="AH314" s="29"/>
    </row>
    <row r="315" spans="1:34" x14ac:dyDescent="0.25">
      <c r="A315" s="5"/>
      <c r="B315" s="2"/>
      <c r="C315" s="20"/>
      <c r="D315" s="67"/>
      <c r="E315" s="67"/>
      <c r="F315" s="2"/>
      <c r="G315" s="67"/>
      <c r="H315" s="2"/>
      <c r="I315" s="20"/>
      <c r="J315" s="2"/>
      <c r="K315" s="20"/>
      <c r="L315" s="2"/>
      <c r="M315" s="20"/>
      <c r="N315" s="20"/>
      <c r="O315" s="114"/>
      <c r="P315" s="2"/>
      <c r="Q315" s="20"/>
      <c r="R315" s="114"/>
      <c r="S315" s="2"/>
      <c r="T315" s="2"/>
      <c r="U315" s="2"/>
      <c r="V315" s="2"/>
      <c r="W315" s="20"/>
      <c r="X315" s="2"/>
      <c r="Y315" s="131"/>
      <c r="Z315" s="20"/>
      <c r="AA315" s="2"/>
      <c r="AB315" s="25"/>
      <c r="AC315" s="2"/>
      <c r="AD315" s="25"/>
      <c r="AE315" s="25"/>
      <c r="AF315" s="2"/>
      <c r="AG315" s="2"/>
      <c r="AH315" s="29"/>
    </row>
    <row r="316" spans="1:34" x14ac:dyDescent="0.25">
      <c r="A316" s="5"/>
      <c r="B316" s="2"/>
      <c r="C316" s="20"/>
      <c r="D316" s="67"/>
      <c r="E316" s="67"/>
      <c r="F316" s="2"/>
      <c r="G316" s="67"/>
      <c r="H316" s="2"/>
      <c r="I316" s="20"/>
      <c r="J316" s="2"/>
      <c r="K316" s="20"/>
      <c r="L316" s="2"/>
      <c r="M316" s="20"/>
      <c r="N316" s="20"/>
      <c r="O316" s="114"/>
      <c r="P316" s="2"/>
      <c r="Q316" s="20"/>
      <c r="R316" s="114"/>
      <c r="S316" s="2"/>
      <c r="T316" s="2"/>
      <c r="U316" s="2"/>
      <c r="V316" s="2"/>
      <c r="W316" s="20"/>
      <c r="X316" s="2"/>
      <c r="Y316" s="131"/>
      <c r="Z316" s="20"/>
      <c r="AA316" s="2"/>
      <c r="AB316" s="25"/>
      <c r="AC316" s="2"/>
      <c r="AD316" s="25"/>
      <c r="AE316" s="25"/>
      <c r="AF316" s="2"/>
      <c r="AG316" s="2"/>
      <c r="AH316" s="29"/>
    </row>
    <row r="317" spans="1:34" x14ac:dyDescent="0.25">
      <c r="A317" s="5"/>
      <c r="B317" s="2"/>
      <c r="C317" s="20"/>
      <c r="D317" s="67"/>
      <c r="E317" s="67"/>
      <c r="F317" s="2"/>
      <c r="G317" s="67"/>
      <c r="H317" s="2"/>
      <c r="I317" s="20"/>
      <c r="J317" s="2"/>
      <c r="K317" s="20"/>
      <c r="L317" s="2"/>
      <c r="M317" s="20"/>
      <c r="N317" s="20"/>
      <c r="O317" s="114"/>
      <c r="P317" s="2"/>
      <c r="Q317" s="20"/>
      <c r="R317" s="114"/>
      <c r="S317" s="2"/>
      <c r="T317" s="2"/>
      <c r="U317" s="2"/>
      <c r="V317" s="2"/>
      <c r="W317" s="20"/>
      <c r="X317" s="2"/>
      <c r="Y317" s="131"/>
      <c r="Z317" s="20"/>
      <c r="AA317" s="2"/>
      <c r="AB317" s="25"/>
      <c r="AC317" s="2"/>
      <c r="AD317" s="25"/>
      <c r="AE317" s="25"/>
      <c r="AF317" s="2"/>
      <c r="AG317" s="2"/>
      <c r="AH317" s="29"/>
    </row>
    <row r="318" spans="1:34" x14ac:dyDescent="0.25">
      <c r="A318" s="5"/>
      <c r="B318" s="2"/>
      <c r="C318" s="20"/>
      <c r="D318" s="67"/>
      <c r="E318" s="67"/>
      <c r="F318" s="2"/>
      <c r="G318" s="67"/>
      <c r="H318" s="2"/>
      <c r="I318" s="20"/>
      <c r="J318" s="2"/>
      <c r="K318" s="20"/>
      <c r="L318" s="2"/>
      <c r="M318" s="20"/>
      <c r="N318" s="20"/>
      <c r="O318" s="114"/>
      <c r="P318" s="2"/>
      <c r="Q318" s="20"/>
      <c r="R318" s="114"/>
      <c r="S318" s="2"/>
      <c r="T318" s="2"/>
      <c r="U318" s="2"/>
      <c r="V318" s="2"/>
      <c r="W318" s="20"/>
      <c r="X318" s="2"/>
      <c r="Y318" s="131"/>
      <c r="Z318" s="20"/>
      <c r="AA318" s="2"/>
      <c r="AB318" s="25"/>
      <c r="AC318" s="2"/>
      <c r="AD318" s="25"/>
      <c r="AE318" s="25"/>
      <c r="AF318" s="2"/>
      <c r="AG318" s="2"/>
      <c r="AH318" s="29"/>
    </row>
    <row r="319" spans="1:34" x14ac:dyDescent="0.25">
      <c r="A319" s="5"/>
      <c r="B319" s="2"/>
      <c r="C319" s="20"/>
      <c r="D319" s="67"/>
      <c r="E319" s="67"/>
      <c r="F319" s="2"/>
      <c r="G319" s="67"/>
      <c r="H319" s="2"/>
      <c r="I319" s="20"/>
      <c r="J319" s="2"/>
      <c r="K319" s="20"/>
      <c r="L319" s="2"/>
      <c r="M319" s="20"/>
      <c r="N319" s="20"/>
      <c r="O319" s="114"/>
      <c r="P319" s="2"/>
      <c r="Q319" s="20"/>
      <c r="R319" s="114"/>
      <c r="S319" s="2"/>
      <c r="T319" s="2"/>
      <c r="U319" s="2"/>
      <c r="V319" s="2"/>
      <c r="W319" s="20"/>
      <c r="X319" s="2"/>
      <c r="Y319" s="131"/>
      <c r="Z319" s="20"/>
      <c r="AA319" s="2"/>
      <c r="AB319" s="25"/>
      <c r="AC319" s="2"/>
      <c r="AD319" s="25"/>
      <c r="AE319" s="25"/>
      <c r="AF319" s="2"/>
      <c r="AG319" s="2"/>
      <c r="AH319" s="29"/>
    </row>
    <row r="320" spans="1:34" x14ac:dyDescent="0.25">
      <c r="A320" s="5"/>
      <c r="B320" s="2"/>
      <c r="C320" s="20"/>
      <c r="D320" s="67"/>
      <c r="E320" s="67"/>
      <c r="F320" s="2"/>
      <c r="G320" s="67"/>
      <c r="H320" s="2"/>
      <c r="I320" s="20"/>
      <c r="J320" s="2"/>
      <c r="K320" s="20"/>
      <c r="L320" s="2"/>
      <c r="M320" s="20"/>
      <c r="N320" s="20"/>
      <c r="O320" s="114"/>
      <c r="P320" s="2"/>
      <c r="Q320" s="20"/>
      <c r="R320" s="114"/>
      <c r="S320" s="2"/>
      <c r="T320" s="2"/>
      <c r="U320" s="2"/>
      <c r="V320" s="2"/>
      <c r="W320" s="20"/>
      <c r="X320" s="2"/>
      <c r="Y320" s="131"/>
      <c r="Z320" s="20"/>
      <c r="AA320" s="2"/>
      <c r="AB320" s="25"/>
      <c r="AC320" s="2"/>
      <c r="AD320" s="25"/>
      <c r="AE320" s="25"/>
      <c r="AF320" s="2"/>
      <c r="AG320" s="2"/>
      <c r="AH320" s="29"/>
    </row>
    <row r="321" spans="1:34" x14ac:dyDescent="0.25">
      <c r="A321" s="5"/>
      <c r="B321" s="2"/>
      <c r="C321" s="20"/>
      <c r="D321" s="67"/>
      <c r="E321" s="67"/>
      <c r="F321" s="2"/>
      <c r="G321" s="67"/>
      <c r="H321" s="2"/>
      <c r="I321" s="20"/>
      <c r="J321" s="2"/>
      <c r="K321" s="20"/>
      <c r="L321" s="2"/>
      <c r="M321" s="20"/>
      <c r="N321" s="20"/>
      <c r="O321" s="114"/>
      <c r="P321" s="2"/>
      <c r="Q321" s="20"/>
      <c r="R321" s="114"/>
      <c r="S321" s="2"/>
      <c r="T321" s="2"/>
      <c r="U321" s="2"/>
      <c r="V321" s="2"/>
      <c r="W321" s="20"/>
      <c r="X321" s="2"/>
      <c r="Y321" s="131"/>
      <c r="Z321" s="20"/>
      <c r="AA321" s="2"/>
      <c r="AB321" s="25"/>
      <c r="AC321" s="2"/>
      <c r="AD321" s="25"/>
      <c r="AE321" s="25"/>
      <c r="AF321" s="2"/>
      <c r="AG321" s="2"/>
      <c r="AH321" s="29"/>
    </row>
    <row r="322" spans="1:34" x14ac:dyDescent="0.25">
      <c r="A322" s="5"/>
      <c r="B322" s="2"/>
      <c r="C322" s="20"/>
      <c r="D322" s="67"/>
      <c r="E322" s="67"/>
      <c r="F322" s="2"/>
      <c r="G322" s="67"/>
      <c r="H322" s="2"/>
      <c r="I322" s="20"/>
      <c r="J322" s="2"/>
      <c r="K322" s="20"/>
      <c r="L322" s="2"/>
      <c r="M322" s="20"/>
      <c r="N322" s="20"/>
      <c r="O322" s="114"/>
      <c r="P322" s="2"/>
      <c r="Q322" s="20"/>
      <c r="R322" s="114"/>
      <c r="S322" s="2"/>
      <c r="T322" s="2"/>
      <c r="U322" s="2"/>
      <c r="V322" s="2"/>
      <c r="W322" s="20"/>
      <c r="X322" s="2"/>
      <c r="Y322" s="131"/>
      <c r="Z322" s="20"/>
      <c r="AA322" s="2"/>
      <c r="AB322" s="25"/>
      <c r="AC322" s="2"/>
      <c r="AD322" s="25"/>
      <c r="AE322" s="25"/>
      <c r="AF322" s="2"/>
      <c r="AG322" s="2"/>
      <c r="AH322" s="29"/>
    </row>
    <row r="323" spans="1:34" x14ac:dyDescent="0.25">
      <c r="A323" s="5"/>
      <c r="B323" s="2"/>
      <c r="C323" s="20"/>
      <c r="D323" s="67"/>
      <c r="E323" s="67"/>
      <c r="F323" s="2"/>
      <c r="G323" s="67"/>
      <c r="H323" s="2"/>
      <c r="I323" s="20"/>
      <c r="J323" s="2"/>
      <c r="K323" s="20"/>
      <c r="L323" s="2"/>
      <c r="M323" s="20"/>
      <c r="N323" s="20"/>
      <c r="O323" s="114"/>
      <c r="P323" s="2"/>
      <c r="Q323" s="20"/>
      <c r="R323" s="114"/>
      <c r="S323" s="2"/>
      <c r="T323" s="2"/>
      <c r="U323" s="2"/>
      <c r="V323" s="2"/>
      <c r="W323" s="20"/>
      <c r="X323" s="2"/>
      <c r="Y323" s="131"/>
      <c r="Z323" s="20"/>
      <c r="AA323" s="2"/>
      <c r="AB323" s="25"/>
      <c r="AC323" s="2"/>
      <c r="AD323" s="25"/>
      <c r="AE323" s="25"/>
      <c r="AF323" s="2"/>
      <c r="AG323" s="2"/>
      <c r="AH323" s="29"/>
    </row>
    <row r="324" spans="1:34" x14ac:dyDescent="0.25">
      <c r="A324" s="5"/>
      <c r="B324" s="2"/>
      <c r="C324" s="20"/>
      <c r="D324" s="67"/>
      <c r="E324" s="67"/>
      <c r="F324" s="2"/>
      <c r="G324" s="67"/>
      <c r="H324" s="2"/>
      <c r="I324" s="20"/>
      <c r="J324" s="2"/>
      <c r="K324" s="20"/>
      <c r="L324" s="2"/>
      <c r="M324" s="20"/>
      <c r="N324" s="20"/>
      <c r="O324" s="114"/>
      <c r="P324" s="2"/>
      <c r="Q324" s="20"/>
      <c r="R324" s="114"/>
      <c r="S324" s="2"/>
      <c r="T324" s="2"/>
      <c r="U324" s="2"/>
      <c r="V324" s="2"/>
      <c r="W324" s="20"/>
      <c r="X324" s="2"/>
      <c r="Y324" s="131"/>
      <c r="Z324" s="20"/>
      <c r="AA324" s="2"/>
      <c r="AB324" s="25"/>
      <c r="AC324" s="2"/>
      <c r="AD324" s="25"/>
      <c r="AE324" s="25"/>
      <c r="AF324" s="2"/>
      <c r="AG324" s="2"/>
      <c r="AH324" s="29"/>
    </row>
    <row r="325" spans="1:34" x14ac:dyDescent="0.25">
      <c r="A325" s="5"/>
      <c r="B325" s="2"/>
      <c r="C325" s="20"/>
      <c r="D325" s="67"/>
      <c r="E325" s="67"/>
      <c r="F325" s="2"/>
      <c r="G325" s="67"/>
      <c r="H325" s="2"/>
      <c r="I325" s="20"/>
      <c r="J325" s="2"/>
      <c r="K325" s="20"/>
      <c r="L325" s="2"/>
      <c r="M325" s="20"/>
      <c r="N325" s="20"/>
      <c r="O325" s="114"/>
      <c r="P325" s="2"/>
      <c r="Q325" s="20"/>
      <c r="R325" s="114"/>
      <c r="S325" s="2"/>
      <c r="T325" s="2"/>
      <c r="U325" s="2"/>
      <c r="V325" s="2"/>
      <c r="W325" s="20"/>
      <c r="X325" s="2"/>
      <c r="Y325" s="131"/>
      <c r="Z325" s="20"/>
      <c r="AA325" s="2"/>
      <c r="AB325" s="25"/>
      <c r="AC325" s="2"/>
      <c r="AD325" s="25"/>
      <c r="AE325" s="25"/>
      <c r="AF325" s="2"/>
      <c r="AG325" s="2"/>
      <c r="AH325" s="29"/>
    </row>
    <row r="326" spans="1:34" x14ac:dyDescent="0.25">
      <c r="A326" s="5"/>
      <c r="B326" s="2"/>
      <c r="C326" s="20"/>
      <c r="D326" s="67"/>
      <c r="E326" s="67"/>
      <c r="F326" s="2"/>
      <c r="G326" s="67"/>
      <c r="H326" s="2"/>
      <c r="I326" s="20"/>
      <c r="J326" s="2"/>
      <c r="K326" s="20"/>
      <c r="L326" s="2"/>
      <c r="M326" s="20"/>
      <c r="N326" s="20"/>
      <c r="O326" s="114"/>
      <c r="P326" s="2"/>
      <c r="Q326" s="20"/>
      <c r="R326" s="114"/>
      <c r="S326" s="2"/>
      <c r="T326" s="2"/>
      <c r="U326" s="2"/>
      <c r="V326" s="2"/>
      <c r="W326" s="20"/>
      <c r="X326" s="2"/>
      <c r="Y326" s="131"/>
      <c r="Z326" s="20"/>
      <c r="AA326" s="2"/>
      <c r="AB326" s="25"/>
      <c r="AC326" s="2"/>
      <c r="AD326" s="25"/>
      <c r="AE326" s="25"/>
      <c r="AF326" s="2"/>
      <c r="AG326" s="2"/>
      <c r="AH326" s="29"/>
    </row>
    <row r="327" spans="1:34" x14ac:dyDescent="0.25">
      <c r="A327" s="5"/>
      <c r="B327" s="2"/>
      <c r="C327" s="20"/>
      <c r="D327" s="67"/>
      <c r="E327" s="67"/>
      <c r="F327" s="2"/>
      <c r="G327" s="67"/>
      <c r="H327" s="2"/>
      <c r="I327" s="20"/>
      <c r="J327" s="2"/>
      <c r="K327" s="20"/>
      <c r="L327" s="2"/>
      <c r="M327" s="20"/>
      <c r="N327" s="20"/>
      <c r="O327" s="114"/>
      <c r="P327" s="2"/>
      <c r="Q327" s="20"/>
      <c r="R327" s="114"/>
      <c r="S327" s="2"/>
      <c r="T327" s="2"/>
      <c r="U327" s="2"/>
      <c r="V327" s="2"/>
      <c r="W327" s="20"/>
      <c r="X327" s="2"/>
      <c r="Y327" s="131"/>
      <c r="Z327" s="20"/>
      <c r="AA327" s="2"/>
      <c r="AB327" s="25"/>
      <c r="AC327" s="2"/>
      <c r="AD327" s="25"/>
      <c r="AE327" s="25"/>
      <c r="AF327" s="2"/>
      <c r="AG327" s="2"/>
      <c r="AH327" s="29"/>
    </row>
    <row r="328" spans="1:34" x14ac:dyDescent="0.25">
      <c r="A328" s="5"/>
      <c r="B328" s="2"/>
      <c r="C328" s="20"/>
      <c r="D328" s="67"/>
      <c r="E328" s="67"/>
      <c r="F328" s="2"/>
      <c r="G328" s="67"/>
      <c r="H328" s="2"/>
      <c r="I328" s="20"/>
      <c r="J328" s="2"/>
      <c r="K328" s="20"/>
      <c r="L328" s="2"/>
      <c r="M328" s="20"/>
      <c r="N328" s="20"/>
      <c r="O328" s="114"/>
      <c r="P328" s="2"/>
      <c r="Q328" s="20"/>
      <c r="R328" s="114"/>
      <c r="S328" s="2"/>
      <c r="T328" s="2"/>
      <c r="U328" s="2"/>
      <c r="V328" s="2"/>
      <c r="W328" s="20"/>
      <c r="X328" s="2"/>
      <c r="Y328" s="131"/>
      <c r="Z328" s="20"/>
      <c r="AA328" s="2"/>
      <c r="AB328" s="25"/>
      <c r="AC328" s="2"/>
      <c r="AD328" s="25"/>
      <c r="AE328" s="25"/>
      <c r="AF328" s="2"/>
      <c r="AG328" s="2"/>
      <c r="AH328" s="29"/>
    </row>
    <row r="329" spans="1:34" x14ac:dyDescent="0.25">
      <c r="A329" s="5"/>
      <c r="B329" s="2"/>
      <c r="C329" s="20"/>
      <c r="D329" s="67"/>
      <c r="E329" s="67"/>
      <c r="F329" s="2"/>
      <c r="G329" s="67"/>
      <c r="H329" s="2"/>
      <c r="I329" s="20"/>
      <c r="J329" s="2"/>
      <c r="K329" s="20"/>
      <c r="L329" s="2"/>
      <c r="M329" s="20"/>
      <c r="N329" s="20"/>
      <c r="O329" s="114"/>
      <c r="P329" s="2"/>
      <c r="Q329" s="20"/>
      <c r="R329" s="114"/>
      <c r="S329" s="2"/>
      <c r="T329" s="2"/>
      <c r="U329" s="2"/>
      <c r="V329" s="2"/>
      <c r="W329" s="20"/>
      <c r="X329" s="2"/>
      <c r="Y329" s="131"/>
      <c r="Z329" s="20"/>
      <c r="AA329" s="2"/>
      <c r="AB329" s="25"/>
      <c r="AC329" s="2"/>
      <c r="AD329" s="25"/>
      <c r="AE329" s="25"/>
      <c r="AF329" s="2"/>
      <c r="AG329" s="2"/>
      <c r="AH329" s="29"/>
    </row>
    <row r="330" spans="1:34" x14ac:dyDescent="0.25">
      <c r="A330" s="5"/>
      <c r="B330" s="2"/>
      <c r="C330" s="20"/>
      <c r="D330" s="67"/>
      <c r="E330" s="67"/>
      <c r="F330" s="2"/>
      <c r="G330" s="67"/>
      <c r="H330" s="2"/>
      <c r="I330" s="20"/>
      <c r="J330" s="2"/>
      <c r="K330" s="20"/>
      <c r="L330" s="2"/>
      <c r="M330" s="20"/>
      <c r="N330" s="20"/>
      <c r="O330" s="114"/>
      <c r="P330" s="2"/>
      <c r="Q330" s="20"/>
      <c r="R330" s="114"/>
      <c r="S330" s="2"/>
      <c r="T330" s="2"/>
      <c r="U330" s="2"/>
      <c r="V330" s="2"/>
      <c r="W330" s="20"/>
      <c r="X330" s="2"/>
      <c r="Y330" s="131"/>
      <c r="Z330" s="20"/>
      <c r="AA330" s="2"/>
      <c r="AB330" s="25"/>
      <c r="AC330" s="2"/>
      <c r="AD330" s="25"/>
      <c r="AE330" s="25"/>
      <c r="AF330" s="2"/>
      <c r="AG330" s="2"/>
      <c r="AH330" s="29"/>
    </row>
    <row r="331" spans="1:34" x14ac:dyDescent="0.25">
      <c r="A331" s="5"/>
      <c r="B331" s="2"/>
      <c r="C331" s="20"/>
      <c r="D331" s="67"/>
      <c r="E331" s="67"/>
      <c r="F331" s="2"/>
      <c r="G331" s="67"/>
      <c r="H331" s="2"/>
      <c r="I331" s="20"/>
      <c r="J331" s="2"/>
      <c r="K331" s="20"/>
      <c r="L331" s="2"/>
      <c r="M331" s="20"/>
      <c r="N331" s="20"/>
      <c r="O331" s="114"/>
      <c r="P331" s="2"/>
      <c r="Q331" s="20"/>
      <c r="R331" s="114"/>
      <c r="S331" s="2"/>
      <c r="T331" s="2"/>
      <c r="U331" s="2"/>
      <c r="V331" s="2"/>
      <c r="W331" s="20"/>
      <c r="X331" s="2"/>
      <c r="Y331" s="131"/>
      <c r="Z331" s="20"/>
      <c r="AA331" s="2"/>
      <c r="AB331" s="25"/>
      <c r="AC331" s="2"/>
      <c r="AD331" s="25"/>
      <c r="AE331" s="25"/>
      <c r="AF331" s="2"/>
      <c r="AG331" s="2"/>
      <c r="AH331" s="29"/>
    </row>
    <row r="332" spans="1:34" x14ac:dyDescent="0.25">
      <c r="A332" s="5"/>
      <c r="B332" s="2"/>
      <c r="C332" s="20"/>
      <c r="D332" s="67"/>
      <c r="E332" s="67"/>
      <c r="F332" s="2"/>
      <c r="G332" s="67"/>
      <c r="H332" s="2"/>
      <c r="I332" s="20"/>
      <c r="J332" s="2"/>
      <c r="K332" s="20"/>
      <c r="L332" s="2"/>
      <c r="M332" s="20"/>
      <c r="N332" s="20"/>
      <c r="O332" s="114"/>
      <c r="P332" s="2"/>
      <c r="Q332" s="20"/>
      <c r="R332" s="114"/>
      <c r="S332" s="2"/>
      <c r="T332" s="2"/>
      <c r="U332" s="2"/>
      <c r="V332" s="2"/>
      <c r="W332" s="20"/>
      <c r="X332" s="2"/>
      <c r="Y332" s="131"/>
      <c r="Z332" s="20"/>
      <c r="AA332" s="2"/>
      <c r="AB332" s="25"/>
      <c r="AC332" s="2"/>
      <c r="AD332" s="25"/>
      <c r="AE332" s="25"/>
      <c r="AF332" s="2"/>
      <c r="AG332" s="2"/>
      <c r="AH332" s="29"/>
    </row>
    <row r="333" spans="1:34" x14ac:dyDescent="0.25">
      <c r="A333" s="5"/>
      <c r="B333" s="2"/>
      <c r="C333" s="20"/>
      <c r="D333" s="67"/>
      <c r="E333" s="67"/>
      <c r="F333" s="2"/>
      <c r="G333" s="67"/>
      <c r="H333" s="2"/>
      <c r="I333" s="20"/>
      <c r="J333" s="2"/>
      <c r="K333" s="20"/>
      <c r="L333" s="2"/>
      <c r="M333" s="20"/>
      <c r="N333" s="20"/>
      <c r="O333" s="114"/>
      <c r="P333" s="2"/>
      <c r="Q333" s="20"/>
      <c r="R333" s="114"/>
      <c r="S333" s="2"/>
      <c r="T333" s="2"/>
      <c r="U333" s="2"/>
      <c r="V333" s="2"/>
      <c r="W333" s="20"/>
      <c r="X333" s="2"/>
      <c r="Y333" s="131"/>
      <c r="Z333" s="20"/>
      <c r="AA333" s="2"/>
      <c r="AB333" s="25"/>
      <c r="AC333" s="2"/>
      <c r="AD333" s="25"/>
      <c r="AE333" s="25"/>
      <c r="AF333" s="2"/>
      <c r="AG333" s="2"/>
      <c r="AH333" s="29"/>
    </row>
    <row r="334" spans="1:34" x14ac:dyDescent="0.25">
      <c r="A334" s="5"/>
      <c r="B334" s="2"/>
      <c r="C334" s="20"/>
      <c r="D334" s="67"/>
      <c r="E334" s="67"/>
      <c r="F334" s="2"/>
      <c r="G334" s="67"/>
      <c r="H334" s="2"/>
      <c r="I334" s="20"/>
      <c r="J334" s="2"/>
      <c r="K334" s="20"/>
      <c r="L334" s="2"/>
      <c r="M334" s="20"/>
      <c r="N334" s="20"/>
      <c r="O334" s="114"/>
      <c r="P334" s="2"/>
      <c r="Q334" s="20"/>
      <c r="R334" s="114"/>
      <c r="S334" s="2"/>
      <c r="T334" s="2"/>
      <c r="U334" s="2"/>
      <c r="V334" s="2"/>
      <c r="W334" s="20"/>
      <c r="X334" s="2"/>
      <c r="Y334" s="131"/>
      <c r="Z334" s="20"/>
      <c r="AA334" s="2"/>
      <c r="AB334" s="25"/>
      <c r="AC334" s="2"/>
      <c r="AD334" s="25"/>
      <c r="AE334" s="25"/>
      <c r="AF334" s="2"/>
      <c r="AG334" s="2"/>
      <c r="AH334" s="29"/>
    </row>
    <row r="335" spans="1:34" x14ac:dyDescent="0.25">
      <c r="A335" s="5"/>
      <c r="B335" s="2"/>
      <c r="C335" s="20"/>
      <c r="D335" s="67"/>
      <c r="E335" s="67"/>
      <c r="F335" s="2"/>
      <c r="G335" s="67"/>
      <c r="H335" s="2"/>
      <c r="I335" s="20"/>
      <c r="J335" s="2"/>
      <c r="K335" s="20"/>
      <c r="L335" s="2"/>
      <c r="M335" s="20"/>
      <c r="N335" s="20"/>
      <c r="O335" s="114"/>
      <c r="P335" s="2"/>
      <c r="Q335" s="20"/>
      <c r="R335" s="114"/>
      <c r="S335" s="2"/>
      <c r="T335" s="2"/>
      <c r="U335" s="2"/>
      <c r="V335" s="2"/>
      <c r="W335" s="20"/>
      <c r="X335" s="2"/>
      <c r="Y335" s="131"/>
      <c r="Z335" s="20"/>
      <c r="AA335" s="2"/>
      <c r="AB335" s="25"/>
      <c r="AC335" s="2"/>
      <c r="AD335" s="25"/>
      <c r="AE335" s="25"/>
      <c r="AF335" s="2"/>
      <c r="AG335" s="2"/>
      <c r="AH335" s="29"/>
    </row>
    <row r="336" spans="1:34" x14ac:dyDescent="0.25">
      <c r="A336" s="5"/>
      <c r="B336" s="2"/>
      <c r="C336" s="20"/>
      <c r="D336" s="67"/>
      <c r="E336" s="67"/>
      <c r="F336" s="2"/>
      <c r="G336" s="67"/>
      <c r="H336" s="2"/>
      <c r="I336" s="20"/>
      <c r="J336" s="2"/>
      <c r="K336" s="20"/>
      <c r="L336" s="2"/>
      <c r="M336" s="20"/>
      <c r="N336" s="20"/>
      <c r="O336" s="114"/>
      <c r="P336" s="2"/>
      <c r="Q336" s="20"/>
      <c r="R336" s="114"/>
      <c r="S336" s="2"/>
      <c r="T336" s="2"/>
      <c r="U336" s="2"/>
      <c r="V336" s="2"/>
      <c r="W336" s="20"/>
      <c r="X336" s="2"/>
      <c r="Y336" s="131"/>
      <c r="Z336" s="20"/>
      <c r="AA336" s="2"/>
      <c r="AB336" s="25"/>
      <c r="AC336" s="2"/>
      <c r="AD336" s="25"/>
      <c r="AE336" s="25"/>
      <c r="AF336" s="2"/>
      <c r="AG336" s="2"/>
      <c r="AH336" s="29"/>
    </row>
    <row r="337" spans="1:34" x14ac:dyDescent="0.25">
      <c r="A337" s="5"/>
      <c r="B337" s="2"/>
      <c r="C337" s="20"/>
      <c r="D337" s="67"/>
      <c r="E337" s="67"/>
      <c r="F337" s="2"/>
      <c r="G337" s="67"/>
      <c r="H337" s="2"/>
      <c r="I337" s="20"/>
      <c r="J337" s="2"/>
      <c r="K337" s="20"/>
      <c r="L337" s="2"/>
      <c r="M337" s="20"/>
      <c r="N337" s="20"/>
      <c r="O337" s="114"/>
      <c r="P337" s="2"/>
      <c r="Q337" s="20"/>
      <c r="R337" s="114"/>
      <c r="S337" s="2"/>
      <c r="T337" s="2"/>
      <c r="U337" s="2"/>
      <c r="V337" s="2"/>
      <c r="W337" s="20"/>
      <c r="X337" s="2"/>
      <c r="Y337" s="131"/>
      <c r="Z337" s="20"/>
      <c r="AA337" s="2"/>
      <c r="AB337" s="25"/>
      <c r="AC337" s="2"/>
      <c r="AD337" s="25"/>
      <c r="AE337" s="25"/>
      <c r="AF337" s="2"/>
      <c r="AG337" s="2"/>
      <c r="AH337" s="29"/>
    </row>
    <row r="338" spans="1:34" x14ac:dyDescent="0.25">
      <c r="A338" s="5"/>
      <c r="B338" s="2"/>
      <c r="C338" s="20"/>
      <c r="D338" s="67"/>
      <c r="E338" s="67"/>
      <c r="F338" s="2"/>
      <c r="G338" s="67"/>
      <c r="H338" s="2"/>
      <c r="I338" s="20"/>
      <c r="J338" s="2"/>
      <c r="K338" s="20"/>
      <c r="L338" s="2"/>
      <c r="M338" s="20"/>
      <c r="N338" s="20"/>
      <c r="O338" s="114"/>
      <c r="P338" s="2"/>
      <c r="Q338" s="20"/>
      <c r="R338" s="114"/>
      <c r="S338" s="2"/>
      <c r="T338" s="2"/>
      <c r="U338" s="2"/>
      <c r="V338" s="2"/>
      <c r="W338" s="20"/>
      <c r="X338" s="2"/>
      <c r="Y338" s="131"/>
      <c r="Z338" s="20"/>
      <c r="AA338" s="2"/>
      <c r="AB338" s="25"/>
      <c r="AC338" s="2"/>
      <c r="AD338" s="25"/>
      <c r="AE338" s="25"/>
      <c r="AF338" s="2"/>
      <c r="AG338" s="2"/>
      <c r="AH338" s="29"/>
    </row>
    <row r="339" spans="1:34" x14ac:dyDescent="0.25">
      <c r="A339" s="5"/>
      <c r="B339" s="2"/>
      <c r="C339" s="20"/>
      <c r="D339" s="67"/>
      <c r="E339" s="67"/>
      <c r="F339" s="2"/>
      <c r="G339" s="67"/>
      <c r="H339" s="2"/>
      <c r="I339" s="20"/>
      <c r="J339" s="2"/>
      <c r="K339" s="20"/>
      <c r="L339" s="2"/>
      <c r="M339" s="20"/>
      <c r="N339" s="20"/>
      <c r="O339" s="114"/>
      <c r="P339" s="2"/>
      <c r="Q339" s="20"/>
      <c r="R339" s="114"/>
      <c r="S339" s="2"/>
      <c r="T339" s="2"/>
      <c r="U339" s="2"/>
      <c r="V339" s="2"/>
      <c r="W339" s="20"/>
      <c r="X339" s="2"/>
      <c r="Y339" s="131"/>
      <c r="Z339" s="20"/>
      <c r="AA339" s="2"/>
      <c r="AB339" s="25"/>
      <c r="AC339" s="2"/>
      <c r="AD339" s="25"/>
      <c r="AE339" s="25"/>
      <c r="AF339" s="2"/>
      <c r="AG339" s="2"/>
      <c r="AH339" s="29"/>
    </row>
    <row r="340" spans="1:34" x14ac:dyDescent="0.25">
      <c r="A340" s="5"/>
      <c r="B340" s="2"/>
      <c r="C340" s="20"/>
      <c r="D340" s="67"/>
      <c r="E340" s="67"/>
      <c r="F340" s="2"/>
      <c r="G340" s="67"/>
      <c r="H340" s="2"/>
      <c r="I340" s="20"/>
      <c r="J340" s="2"/>
      <c r="K340" s="20"/>
      <c r="L340" s="2"/>
      <c r="M340" s="20"/>
      <c r="N340" s="20"/>
      <c r="O340" s="114"/>
      <c r="P340" s="2"/>
      <c r="Q340" s="20"/>
      <c r="R340" s="114"/>
      <c r="S340" s="2"/>
      <c r="T340" s="2"/>
      <c r="U340" s="2"/>
      <c r="V340" s="2"/>
      <c r="W340" s="20"/>
      <c r="X340" s="2"/>
      <c r="Y340" s="131"/>
      <c r="Z340" s="20"/>
      <c r="AA340" s="2"/>
      <c r="AB340" s="25"/>
      <c r="AC340" s="2"/>
      <c r="AD340" s="25"/>
      <c r="AE340" s="25"/>
      <c r="AF340" s="2"/>
      <c r="AG340" s="2"/>
      <c r="AH340" s="29"/>
    </row>
    <row r="341" spans="1:34" x14ac:dyDescent="0.25">
      <c r="A341" s="5"/>
      <c r="B341" s="2"/>
      <c r="C341" s="20"/>
      <c r="D341" s="67"/>
      <c r="E341" s="67"/>
      <c r="F341" s="2"/>
      <c r="G341" s="67"/>
      <c r="H341" s="2"/>
      <c r="I341" s="20"/>
      <c r="J341" s="2"/>
      <c r="K341" s="20"/>
      <c r="L341" s="2"/>
      <c r="M341" s="20"/>
      <c r="N341" s="20"/>
      <c r="O341" s="114"/>
      <c r="P341" s="2"/>
      <c r="Q341" s="20"/>
      <c r="R341" s="114"/>
      <c r="S341" s="2"/>
      <c r="T341" s="2"/>
      <c r="U341" s="2"/>
      <c r="V341" s="2"/>
      <c r="W341" s="20"/>
      <c r="X341" s="2"/>
      <c r="Y341" s="131"/>
      <c r="Z341" s="20"/>
      <c r="AA341" s="2"/>
      <c r="AB341" s="25"/>
      <c r="AC341" s="2"/>
      <c r="AD341" s="25"/>
      <c r="AE341" s="25"/>
      <c r="AF341" s="2"/>
      <c r="AG341" s="2"/>
      <c r="AH341" s="29"/>
    </row>
    <row r="342" spans="1:34" x14ac:dyDescent="0.25">
      <c r="A342" s="5"/>
      <c r="B342" s="2"/>
      <c r="C342" s="20"/>
      <c r="D342" s="67"/>
      <c r="E342" s="67"/>
      <c r="F342" s="2"/>
      <c r="G342" s="67"/>
      <c r="H342" s="2"/>
      <c r="I342" s="20"/>
      <c r="J342" s="2"/>
      <c r="K342" s="20"/>
      <c r="L342" s="2"/>
      <c r="M342" s="20"/>
      <c r="N342" s="20"/>
      <c r="O342" s="114"/>
      <c r="P342" s="2"/>
      <c r="Q342" s="20"/>
      <c r="R342" s="114"/>
      <c r="S342" s="2"/>
      <c r="T342" s="2"/>
      <c r="U342" s="2"/>
      <c r="V342" s="2"/>
      <c r="W342" s="20"/>
      <c r="X342" s="2"/>
      <c r="Y342" s="131"/>
      <c r="Z342" s="20"/>
      <c r="AA342" s="2"/>
      <c r="AB342" s="25"/>
      <c r="AC342" s="2"/>
      <c r="AD342" s="25"/>
      <c r="AE342" s="25"/>
      <c r="AF342" s="2"/>
      <c r="AG342" s="2"/>
      <c r="AH342" s="29"/>
    </row>
    <row r="343" spans="1:34" x14ac:dyDescent="0.25">
      <c r="A343" s="5"/>
      <c r="B343" s="2"/>
      <c r="C343" s="20"/>
      <c r="D343" s="67"/>
      <c r="E343" s="67"/>
      <c r="F343" s="2"/>
      <c r="G343" s="67"/>
      <c r="H343" s="2"/>
      <c r="I343" s="20"/>
      <c r="J343" s="2"/>
      <c r="K343" s="20"/>
      <c r="L343" s="2"/>
      <c r="M343" s="20"/>
      <c r="N343" s="20"/>
      <c r="O343" s="114"/>
      <c r="P343" s="2"/>
      <c r="Q343" s="20"/>
      <c r="R343" s="114"/>
      <c r="S343" s="2"/>
      <c r="T343" s="2"/>
      <c r="U343" s="2"/>
      <c r="V343" s="2"/>
      <c r="W343" s="20"/>
      <c r="X343" s="2"/>
      <c r="Y343" s="131"/>
      <c r="Z343" s="20"/>
      <c r="AA343" s="2"/>
      <c r="AB343" s="25"/>
      <c r="AC343" s="2"/>
      <c r="AD343" s="25"/>
      <c r="AE343" s="25"/>
      <c r="AF343" s="2"/>
      <c r="AG343" s="2"/>
      <c r="AH343" s="29"/>
    </row>
    <row r="344" spans="1:34" x14ac:dyDescent="0.25">
      <c r="A344" s="5"/>
      <c r="B344" s="2"/>
      <c r="C344" s="20"/>
      <c r="D344" s="67"/>
      <c r="E344" s="67"/>
      <c r="F344" s="2"/>
      <c r="G344" s="67"/>
      <c r="H344" s="2"/>
      <c r="I344" s="20"/>
      <c r="J344" s="2"/>
      <c r="K344" s="20"/>
      <c r="L344" s="2"/>
      <c r="M344" s="20"/>
      <c r="N344" s="20"/>
      <c r="O344" s="114"/>
      <c r="P344" s="2"/>
      <c r="Q344" s="20"/>
      <c r="R344" s="114"/>
      <c r="S344" s="2"/>
      <c r="T344" s="2"/>
      <c r="U344" s="2"/>
      <c r="V344" s="2"/>
      <c r="W344" s="20"/>
      <c r="X344" s="2"/>
      <c r="Y344" s="131"/>
      <c r="Z344" s="20"/>
      <c r="AA344" s="2"/>
      <c r="AB344" s="25"/>
      <c r="AC344" s="2"/>
      <c r="AD344" s="25"/>
      <c r="AE344" s="25"/>
      <c r="AF344" s="2"/>
      <c r="AG344" s="2"/>
      <c r="AH344" s="29"/>
    </row>
    <row r="345" spans="1:34" x14ac:dyDescent="0.25">
      <c r="A345" s="5"/>
      <c r="B345" s="2"/>
      <c r="C345" s="20"/>
      <c r="D345" s="67"/>
      <c r="E345" s="67"/>
      <c r="F345" s="2"/>
      <c r="G345" s="67"/>
      <c r="H345" s="2"/>
      <c r="I345" s="20"/>
      <c r="J345" s="2"/>
      <c r="K345" s="20"/>
      <c r="L345" s="2"/>
      <c r="M345" s="20"/>
      <c r="N345" s="20"/>
      <c r="O345" s="114"/>
      <c r="P345" s="2"/>
      <c r="Q345" s="20"/>
      <c r="R345" s="114"/>
      <c r="S345" s="2"/>
      <c r="T345" s="2"/>
      <c r="U345" s="2"/>
      <c r="V345" s="2"/>
      <c r="W345" s="20"/>
      <c r="X345" s="2"/>
      <c r="Y345" s="131"/>
      <c r="Z345" s="20"/>
      <c r="AA345" s="2"/>
      <c r="AB345" s="25"/>
      <c r="AC345" s="2"/>
      <c r="AD345" s="25"/>
      <c r="AE345" s="25"/>
      <c r="AF345" s="2"/>
      <c r="AG345" s="2"/>
      <c r="AH345" s="29"/>
    </row>
    <row r="346" spans="1:34" x14ac:dyDescent="0.25">
      <c r="A346" s="5"/>
      <c r="B346" s="2"/>
      <c r="C346" s="20"/>
      <c r="D346" s="67"/>
      <c r="E346" s="67"/>
      <c r="F346" s="2"/>
      <c r="G346" s="67"/>
      <c r="H346" s="2"/>
      <c r="I346" s="20"/>
      <c r="J346" s="2"/>
      <c r="K346" s="20"/>
      <c r="L346" s="2"/>
      <c r="M346" s="20"/>
      <c r="N346" s="20"/>
      <c r="O346" s="114"/>
      <c r="P346" s="2"/>
      <c r="Q346" s="20"/>
      <c r="R346" s="114"/>
      <c r="S346" s="2"/>
      <c r="T346" s="2"/>
      <c r="U346" s="2"/>
      <c r="V346" s="2"/>
      <c r="W346" s="20"/>
      <c r="X346" s="2"/>
      <c r="Y346" s="131"/>
      <c r="Z346" s="20"/>
      <c r="AA346" s="2"/>
      <c r="AB346" s="25"/>
      <c r="AC346" s="2"/>
      <c r="AD346" s="25"/>
      <c r="AE346" s="25"/>
      <c r="AF346" s="2"/>
      <c r="AG346" s="2"/>
      <c r="AH346" s="29"/>
    </row>
    <row r="347" spans="1:34" x14ac:dyDescent="0.25">
      <c r="A347" s="5"/>
      <c r="B347" s="2"/>
      <c r="C347" s="20"/>
      <c r="D347" s="67"/>
      <c r="E347" s="67"/>
      <c r="F347" s="2"/>
      <c r="G347" s="67"/>
      <c r="H347" s="2"/>
      <c r="I347" s="20"/>
      <c r="J347" s="2"/>
      <c r="K347" s="20"/>
      <c r="L347" s="2"/>
      <c r="M347" s="20"/>
      <c r="N347" s="20"/>
      <c r="O347" s="114"/>
      <c r="P347" s="2"/>
      <c r="Q347" s="20"/>
      <c r="R347" s="114"/>
      <c r="S347" s="2"/>
      <c r="T347" s="2"/>
      <c r="U347" s="2"/>
      <c r="V347" s="2"/>
      <c r="W347" s="20"/>
      <c r="X347" s="2"/>
      <c r="Y347" s="131"/>
      <c r="Z347" s="20"/>
      <c r="AA347" s="2"/>
      <c r="AB347" s="25"/>
      <c r="AC347" s="2"/>
      <c r="AD347" s="25"/>
      <c r="AE347" s="25"/>
      <c r="AF347" s="2"/>
      <c r="AG347" s="2"/>
      <c r="AH347" s="29"/>
    </row>
    <row r="348" spans="1:34" x14ac:dyDescent="0.25">
      <c r="A348" s="5"/>
      <c r="B348" s="2"/>
      <c r="C348" s="20"/>
      <c r="D348" s="67"/>
      <c r="E348" s="67"/>
      <c r="F348" s="2"/>
      <c r="G348" s="67"/>
      <c r="H348" s="2"/>
      <c r="I348" s="20"/>
      <c r="J348" s="2"/>
      <c r="K348" s="20"/>
      <c r="L348" s="2"/>
      <c r="M348" s="20"/>
      <c r="N348" s="20"/>
      <c r="O348" s="114"/>
      <c r="P348" s="2"/>
      <c r="Q348" s="20"/>
      <c r="R348" s="114"/>
      <c r="S348" s="2"/>
      <c r="T348" s="2"/>
      <c r="U348" s="2"/>
      <c r="V348" s="2"/>
      <c r="W348" s="20"/>
      <c r="X348" s="2"/>
      <c r="Y348" s="131"/>
      <c r="Z348" s="20"/>
      <c r="AA348" s="2"/>
      <c r="AB348" s="25"/>
      <c r="AC348" s="2"/>
      <c r="AD348" s="25"/>
      <c r="AE348" s="25"/>
      <c r="AF348" s="2"/>
      <c r="AG348" s="2"/>
      <c r="AH348" s="29"/>
    </row>
    <row r="349" spans="1:34" x14ac:dyDescent="0.25">
      <c r="A349" s="5"/>
      <c r="B349" s="2"/>
      <c r="C349" s="20"/>
      <c r="D349" s="67"/>
      <c r="E349" s="67"/>
      <c r="F349" s="2"/>
      <c r="G349" s="67"/>
      <c r="H349" s="2"/>
      <c r="I349" s="20"/>
      <c r="J349" s="2"/>
      <c r="K349" s="20"/>
      <c r="L349" s="2"/>
      <c r="M349" s="20"/>
      <c r="N349" s="20"/>
      <c r="O349" s="114"/>
      <c r="P349" s="2"/>
      <c r="Q349" s="20"/>
      <c r="R349" s="114"/>
      <c r="S349" s="2"/>
      <c r="T349" s="2"/>
      <c r="U349" s="2"/>
      <c r="V349" s="2"/>
      <c r="W349" s="20"/>
      <c r="X349" s="2"/>
      <c r="Y349" s="131"/>
      <c r="Z349" s="20"/>
      <c r="AA349" s="2"/>
      <c r="AB349" s="25"/>
      <c r="AC349" s="2"/>
      <c r="AD349" s="25"/>
      <c r="AE349" s="25"/>
      <c r="AF349" s="2"/>
      <c r="AG349" s="2"/>
      <c r="AH349" s="29"/>
    </row>
    <row r="350" spans="1:34" x14ac:dyDescent="0.25">
      <c r="A350" s="5"/>
      <c r="B350" s="2"/>
      <c r="C350" s="20"/>
      <c r="D350" s="67"/>
      <c r="E350" s="67"/>
      <c r="F350" s="2"/>
      <c r="G350" s="67"/>
      <c r="H350" s="2"/>
      <c r="I350" s="20"/>
      <c r="J350" s="2"/>
      <c r="K350" s="20"/>
      <c r="L350" s="2"/>
      <c r="M350" s="20"/>
      <c r="N350" s="20"/>
      <c r="O350" s="114"/>
      <c r="P350" s="2"/>
      <c r="Q350" s="20"/>
      <c r="R350" s="114"/>
      <c r="S350" s="2"/>
      <c r="T350" s="2"/>
      <c r="U350" s="2"/>
      <c r="V350" s="2"/>
      <c r="W350" s="20"/>
      <c r="X350" s="2"/>
      <c r="Y350" s="131"/>
      <c r="Z350" s="20"/>
      <c r="AA350" s="2"/>
      <c r="AB350" s="25"/>
      <c r="AC350" s="2"/>
      <c r="AD350" s="25"/>
      <c r="AE350" s="25"/>
      <c r="AF350" s="2"/>
      <c r="AG350" s="2"/>
      <c r="AH350" s="29"/>
    </row>
    <row r="351" spans="1:34" x14ac:dyDescent="0.25">
      <c r="A351" s="5"/>
      <c r="B351" s="2"/>
      <c r="C351" s="20"/>
      <c r="D351" s="67"/>
      <c r="E351" s="67"/>
      <c r="F351" s="2"/>
      <c r="G351" s="67"/>
      <c r="H351" s="2"/>
      <c r="I351" s="20"/>
      <c r="J351" s="2"/>
      <c r="K351" s="20"/>
      <c r="L351" s="2"/>
      <c r="M351" s="20"/>
      <c r="N351" s="20"/>
      <c r="O351" s="114"/>
      <c r="P351" s="2"/>
      <c r="Q351" s="20"/>
      <c r="R351" s="114"/>
      <c r="S351" s="2"/>
      <c r="T351" s="2"/>
      <c r="U351" s="2"/>
      <c r="V351" s="2"/>
      <c r="W351" s="20"/>
      <c r="X351" s="2"/>
      <c r="Y351" s="131"/>
      <c r="Z351" s="20"/>
      <c r="AA351" s="2"/>
      <c r="AB351" s="25"/>
      <c r="AC351" s="2"/>
      <c r="AD351" s="25"/>
      <c r="AE351" s="25"/>
      <c r="AF351" s="2"/>
      <c r="AG351" s="2"/>
      <c r="AH351" s="29"/>
    </row>
    <row r="352" spans="1:34" x14ac:dyDescent="0.25">
      <c r="A352" s="5"/>
      <c r="B352" s="2"/>
      <c r="C352" s="20"/>
      <c r="D352" s="67"/>
      <c r="E352" s="67"/>
      <c r="F352" s="2"/>
      <c r="G352" s="67"/>
      <c r="H352" s="2"/>
      <c r="I352" s="20"/>
      <c r="J352" s="2"/>
      <c r="K352" s="20"/>
      <c r="L352" s="2"/>
      <c r="M352" s="20"/>
      <c r="N352" s="20"/>
      <c r="O352" s="114"/>
      <c r="P352" s="2"/>
      <c r="Q352" s="20"/>
      <c r="R352" s="114"/>
      <c r="S352" s="2"/>
      <c r="T352" s="2"/>
      <c r="U352" s="2"/>
      <c r="V352" s="2"/>
      <c r="W352" s="20"/>
      <c r="X352" s="2"/>
      <c r="Y352" s="131"/>
      <c r="Z352" s="20"/>
      <c r="AA352" s="2"/>
      <c r="AB352" s="25"/>
      <c r="AC352" s="2"/>
      <c r="AD352" s="25"/>
      <c r="AE352" s="25"/>
      <c r="AF352" s="2"/>
      <c r="AG352" s="2"/>
      <c r="AH352" s="29"/>
    </row>
    <row r="353" spans="1:34" x14ac:dyDescent="0.25">
      <c r="A353" s="5"/>
      <c r="B353" s="2"/>
      <c r="C353" s="20"/>
      <c r="D353" s="67"/>
      <c r="E353" s="67"/>
      <c r="F353" s="2"/>
      <c r="G353" s="67"/>
      <c r="H353" s="2"/>
      <c r="I353" s="20"/>
      <c r="J353" s="2"/>
      <c r="K353" s="20"/>
      <c r="L353" s="2"/>
      <c r="M353" s="20"/>
      <c r="N353" s="20"/>
      <c r="O353" s="114"/>
      <c r="P353" s="2"/>
      <c r="Q353" s="20"/>
      <c r="R353" s="114"/>
      <c r="S353" s="2"/>
      <c r="T353" s="2"/>
      <c r="U353" s="2"/>
      <c r="V353" s="2"/>
      <c r="W353" s="20"/>
      <c r="X353" s="2"/>
      <c r="Y353" s="131"/>
      <c r="Z353" s="20"/>
      <c r="AA353" s="2"/>
      <c r="AB353" s="25"/>
      <c r="AC353" s="2"/>
      <c r="AD353" s="25"/>
      <c r="AE353" s="25"/>
      <c r="AF353" s="2"/>
      <c r="AG353" s="2"/>
      <c r="AH353" s="29"/>
    </row>
    <row r="354" spans="1:34" x14ac:dyDescent="0.25">
      <c r="A354" s="5"/>
      <c r="B354" s="2"/>
      <c r="C354" s="20"/>
      <c r="D354" s="67"/>
      <c r="E354" s="67"/>
      <c r="F354" s="2"/>
      <c r="G354" s="67"/>
      <c r="H354" s="2"/>
      <c r="I354" s="20"/>
      <c r="J354" s="2"/>
      <c r="K354" s="20"/>
      <c r="L354" s="2"/>
      <c r="M354" s="20"/>
      <c r="N354" s="20"/>
      <c r="O354" s="114"/>
      <c r="P354" s="2"/>
      <c r="Q354" s="20"/>
      <c r="R354" s="114"/>
      <c r="S354" s="2"/>
      <c r="T354" s="2"/>
      <c r="U354" s="2"/>
      <c r="V354" s="2"/>
      <c r="W354" s="20"/>
      <c r="X354" s="2"/>
      <c r="Y354" s="131"/>
      <c r="Z354" s="20"/>
      <c r="AA354" s="2"/>
      <c r="AB354" s="25"/>
      <c r="AC354" s="2"/>
      <c r="AD354" s="25"/>
      <c r="AE354" s="25"/>
      <c r="AF354" s="2"/>
      <c r="AG354" s="2"/>
      <c r="AH354" s="29"/>
    </row>
    <row r="355" spans="1:34" x14ac:dyDescent="0.25">
      <c r="A355" s="5"/>
      <c r="B355" s="2"/>
      <c r="C355" s="20"/>
      <c r="D355" s="67"/>
      <c r="E355" s="67"/>
      <c r="F355" s="2"/>
      <c r="G355" s="67"/>
      <c r="H355" s="2"/>
      <c r="I355" s="20"/>
      <c r="J355" s="2"/>
      <c r="K355" s="20"/>
      <c r="L355" s="2"/>
      <c r="M355" s="20"/>
      <c r="N355" s="20"/>
      <c r="O355" s="114"/>
      <c r="P355" s="2"/>
      <c r="Q355" s="20"/>
      <c r="R355" s="114"/>
      <c r="S355" s="2"/>
      <c r="T355" s="2"/>
      <c r="U355" s="2"/>
      <c r="V355" s="2"/>
      <c r="W355" s="20"/>
      <c r="X355" s="2"/>
      <c r="Y355" s="131"/>
      <c r="Z355" s="20"/>
      <c r="AA355" s="2"/>
      <c r="AB355" s="25"/>
      <c r="AC355" s="2"/>
      <c r="AD355" s="25"/>
      <c r="AE355" s="25"/>
      <c r="AF355" s="2"/>
      <c r="AG355" s="2"/>
      <c r="AH355" s="29"/>
    </row>
    <row r="356" spans="1:34" x14ac:dyDescent="0.25">
      <c r="A356" s="5"/>
      <c r="B356" s="2"/>
      <c r="C356" s="20"/>
      <c r="D356" s="67"/>
      <c r="E356" s="67"/>
      <c r="F356" s="2"/>
      <c r="G356" s="67"/>
      <c r="H356" s="2"/>
      <c r="I356" s="20"/>
      <c r="J356" s="2"/>
      <c r="K356" s="20"/>
      <c r="L356" s="2"/>
      <c r="M356" s="20"/>
      <c r="N356" s="20"/>
      <c r="O356" s="114"/>
      <c r="P356" s="2"/>
      <c r="Q356" s="20"/>
      <c r="R356" s="114"/>
      <c r="S356" s="2"/>
      <c r="T356" s="2"/>
      <c r="U356" s="2"/>
      <c r="V356" s="2"/>
      <c r="W356" s="20"/>
      <c r="X356" s="2"/>
      <c r="Y356" s="131"/>
      <c r="Z356" s="20"/>
      <c r="AA356" s="2"/>
      <c r="AB356" s="25"/>
      <c r="AC356" s="2"/>
      <c r="AD356" s="25"/>
      <c r="AE356" s="25"/>
      <c r="AF356" s="2"/>
      <c r="AG356" s="2"/>
      <c r="AH356" s="29"/>
    </row>
    <row r="357" spans="1:34" x14ac:dyDescent="0.25">
      <c r="A357" s="5"/>
      <c r="B357" s="2"/>
      <c r="C357" s="20"/>
      <c r="D357" s="67"/>
      <c r="E357" s="67"/>
      <c r="F357" s="2"/>
      <c r="G357" s="67"/>
      <c r="H357" s="2"/>
      <c r="I357" s="20"/>
      <c r="J357" s="2"/>
      <c r="K357" s="20"/>
      <c r="L357" s="2"/>
      <c r="M357" s="20"/>
      <c r="N357" s="20"/>
      <c r="O357" s="114"/>
      <c r="P357" s="2"/>
      <c r="Q357" s="20"/>
      <c r="R357" s="114"/>
      <c r="S357" s="2"/>
      <c r="T357" s="2"/>
      <c r="U357" s="2"/>
      <c r="V357" s="2"/>
      <c r="W357" s="20"/>
      <c r="X357" s="2"/>
      <c r="Y357" s="131"/>
      <c r="Z357" s="20"/>
      <c r="AA357" s="2"/>
      <c r="AB357" s="25"/>
      <c r="AC357" s="2"/>
      <c r="AD357" s="25"/>
      <c r="AE357" s="25"/>
      <c r="AF357" s="2"/>
      <c r="AG357" s="2"/>
      <c r="AH357" s="29"/>
    </row>
    <row r="358" spans="1:34" x14ac:dyDescent="0.25">
      <c r="A358" s="5"/>
      <c r="B358" s="2"/>
      <c r="C358" s="20"/>
      <c r="D358" s="67"/>
      <c r="E358" s="67"/>
      <c r="F358" s="2"/>
      <c r="G358" s="67"/>
      <c r="H358" s="2"/>
      <c r="I358" s="20"/>
      <c r="J358" s="2"/>
      <c r="K358" s="20"/>
      <c r="L358" s="2"/>
      <c r="M358" s="20"/>
      <c r="N358" s="20"/>
      <c r="O358" s="114"/>
      <c r="P358" s="2"/>
      <c r="Q358" s="20"/>
      <c r="R358" s="114"/>
      <c r="S358" s="2"/>
      <c r="T358" s="2"/>
      <c r="U358" s="2"/>
      <c r="V358" s="2"/>
      <c r="W358" s="20"/>
      <c r="X358" s="2"/>
      <c r="Y358" s="131"/>
      <c r="Z358" s="20"/>
      <c r="AA358" s="2"/>
      <c r="AB358" s="25"/>
      <c r="AC358" s="2"/>
      <c r="AD358" s="25"/>
      <c r="AE358" s="25"/>
      <c r="AF358" s="2"/>
      <c r="AG358" s="2"/>
      <c r="AH358" s="29"/>
    </row>
    <row r="359" spans="1:34" x14ac:dyDescent="0.25">
      <c r="A359" s="5"/>
      <c r="B359" s="2"/>
      <c r="C359" s="20"/>
      <c r="D359" s="67"/>
      <c r="E359" s="67"/>
      <c r="F359" s="2"/>
      <c r="G359" s="67"/>
      <c r="H359" s="2"/>
      <c r="I359" s="20"/>
      <c r="J359" s="2"/>
      <c r="K359" s="20"/>
      <c r="L359" s="2"/>
      <c r="M359" s="20"/>
      <c r="N359" s="20"/>
      <c r="O359" s="114"/>
      <c r="P359" s="2"/>
      <c r="Q359" s="20"/>
      <c r="R359" s="114"/>
      <c r="S359" s="2"/>
      <c r="T359" s="2"/>
      <c r="U359" s="2"/>
      <c r="V359" s="2"/>
      <c r="W359" s="20"/>
      <c r="X359" s="2"/>
      <c r="Y359" s="131"/>
      <c r="Z359" s="20"/>
      <c r="AA359" s="2"/>
      <c r="AB359" s="25"/>
      <c r="AC359" s="2"/>
      <c r="AD359" s="25"/>
      <c r="AE359" s="25"/>
      <c r="AF359" s="2"/>
      <c r="AG359" s="2"/>
      <c r="AH359" s="29"/>
    </row>
    <row r="360" spans="1:34" x14ac:dyDescent="0.25">
      <c r="A360" s="5"/>
      <c r="B360" s="2"/>
      <c r="C360" s="20"/>
      <c r="D360" s="67"/>
      <c r="E360" s="67"/>
      <c r="F360" s="2"/>
      <c r="G360" s="67"/>
      <c r="H360" s="2"/>
      <c r="I360" s="20"/>
      <c r="J360" s="2"/>
      <c r="K360" s="20"/>
      <c r="L360" s="2"/>
      <c r="M360" s="20"/>
      <c r="N360" s="20"/>
      <c r="O360" s="114"/>
      <c r="P360" s="2"/>
      <c r="Q360" s="20"/>
      <c r="R360" s="114"/>
      <c r="S360" s="2"/>
      <c r="T360" s="2"/>
      <c r="U360" s="2"/>
      <c r="V360" s="2"/>
      <c r="W360" s="20"/>
      <c r="X360" s="2"/>
      <c r="Y360" s="131"/>
      <c r="Z360" s="20"/>
      <c r="AA360" s="2"/>
      <c r="AB360" s="25"/>
      <c r="AC360" s="2"/>
      <c r="AD360" s="25"/>
      <c r="AE360" s="25"/>
      <c r="AF360" s="2"/>
      <c r="AG360" s="2"/>
      <c r="AH360" s="29"/>
    </row>
    <row r="361" spans="1:34" x14ac:dyDescent="0.25">
      <c r="A361" s="5"/>
      <c r="B361" s="2"/>
      <c r="C361" s="20"/>
      <c r="D361" s="67"/>
      <c r="E361" s="67"/>
      <c r="F361" s="2"/>
      <c r="G361" s="67"/>
      <c r="H361" s="2"/>
      <c r="I361" s="20"/>
      <c r="J361" s="2"/>
      <c r="K361" s="20"/>
      <c r="L361" s="2"/>
      <c r="M361" s="20"/>
      <c r="N361" s="20"/>
      <c r="O361" s="114"/>
      <c r="P361" s="2"/>
      <c r="Q361" s="20"/>
      <c r="R361" s="114"/>
      <c r="S361" s="2"/>
      <c r="T361" s="2"/>
      <c r="U361" s="2"/>
      <c r="V361" s="2"/>
      <c r="W361" s="20"/>
      <c r="X361" s="2"/>
      <c r="Y361" s="131"/>
      <c r="Z361" s="20"/>
      <c r="AA361" s="2"/>
      <c r="AB361" s="25"/>
      <c r="AC361" s="2"/>
      <c r="AD361" s="25"/>
      <c r="AE361" s="25"/>
      <c r="AF361" s="2"/>
      <c r="AG361" s="2"/>
      <c r="AH361" s="29"/>
    </row>
    <row r="362" spans="1:34" x14ac:dyDescent="0.25">
      <c r="A362" s="5"/>
      <c r="B362" s="2"/>
      <c r="C362" s="20"/>
      <c r="D362" s="67"/>
      <c r="E362" s="67"/>
      <c r="F362" s="2"/>
      <c r="G362" s="67"/>
      <c r="H362" s="2"/>
      <c r="I362" s="20"/>
      <c r="J362" s="2"/>
      <c r="K362" s="20"/>
      <c r="L362" s="2"/>
      <c r="M362" s="20"/>
      <c r="N362" s="20"/>
      <c r="O362" s="114"/>
      <c r="P362" s="2"/>
      <c r="Q362" s="20"/>
      <c r="R362" s="114"/>
      <c r="S362" s="2"/>
      <c r="T362" s="2"/>
      <c r="U362" s="2"/>
      <c r="V362" s="2"/>
      <c r="W362" s="20"/>
      <c r="X362" s="2"/>
      <c r="Y362" s="131"/>
      <c r="Z362" s="20"/>
      <c r="AA362" s="2"/>
      <c r="AB362" s="25"/>
      <c r="AC362" s="2"/>
      <c r="AD362" s="25"/>
      <c r="AE362" s="25"/>
      <c r="AF362" s="2"/>
      <c r="AG362" s="2"/>
      <c r="AH362" s="29"/>
    </row>
    <row r="363" spans="1:34" x14ac:dyDescent="0.25">
      <c r="A363" s="5"/>
      <c r="B363" s="2"/>
      <c r="C363" s="20"/>
      <c r="D363" s="67"/>
      <c r="E363" s="67"/>
      <c r="F363" s="2"/>
      <c r="G363" s="67"/>
      <c r="H363" s="2"/>
      <c r="I363" s="20"/>
      <c r="J363" s="2"/>
      <c r="K363" s="20"/>
      <c r="L363" s="2"/>
      <c r="M363" s="20"/>
      <c r="N363" s="20"/>
      <c r="O363" s="114"/>
      <c r="P363" s="2"/>
      <c r="Q363" s="20"/>
      <c r="R363" s="114"/>
      <c r="S363" s="2"/>
      <c r="T363" s="2"/>
      <c r="U363" s="2"/>
      <c r="V363" s="2"/>
      <c r="W363" s="20"/>
      <c r="X363" s="2"/>
      <c r="Y363" s="131"/>
      <c r="Z363" s="20"/>
      <c r="AA363" s="2"/>
      <c r="AB363" s="25"/>
      <c r="AC363" s="2"/>
      <c r="AD363" s="25"/>
      <c r="AE363" s="25"/>
      <c r="AF363" s="2"/>
      <c r="AG363" s="2"/>
      <c r="AH363" s="29"/>
    </row>
    <row r="364" spans="1:34" x14ac:dyDescent="0.25">
      <c r="A364" s="5"/>
      <c r="B364" s="2"/>
      <c r="C364" s="20"/>
      <c r="D364" s="67"/>
      <c r="E364" s="67"/>
      <c r="F364" s="2"/>
      <c r="G364" s="67"/>
      <c r="H364" s="2"/>
      <c r="I364" s="20"/>
      <c r="J364" s="2"/>
      <c r="K364" s="20"/>
      <c r="L364" s="2"/>
      <c r="M364" s="20"/>
      <c r="N364" s="20"/>
      <c r="O364" s="114"/>
      <c r="P364" s="2"/>
      <c r="Q364" s="20"/>
      <c r="R364" s="114"/>
      <c r="S364" s="2"/>
      <c r="T364" s="2"/>
      <c r="U364" s="2"/>
      <c r="V364" s="2"/>
      <c r="W364" s="20"/>
      <c r="X364" s="2"/>
      <c r="Y364" s="131"/>
      <c r="Z364" s="20"/>
      <c r="AA364" s="2"/>
      <c r="AB364" s="25"/>
      <c r="AC364" s="2"/>
      <c r="AD364" s="25"/>
      <c r="AE364" s="25"/>
      <c r="AF364" s="2"/>
      <c r="AG364" s="2"/>
      <c r="AH364" s="29"/>
    </row>
    <row r="365" spans="1:34" x14ac:dyDescent="0.25">
      <c r="A365" s="5"/>
      <c r="B365" s="2"/>
      <c r="C365" s="20"/>
      <c r="D365" s="67"/>
      <c r="E365" s="67"/>
      <c r="F365" s="2"/>
      <c r="G365" s="67"/>
      <c r="H365" s="2"/>
      <c r="I365" s="20"/>
      <c r="J365" s="2"/>
      <c r="K365" s="20"/>
      <c r="L365" s="2"/>
      <c r="M365" s="20"/>
      <c r="N365" s="20"/>
      <c r="O365" s="114"/>
      <c r="P365" s="2"/>
      <c r="Q365" s="20"/>
      <c r="R365" s="114"/>
      <c r="S365" s="2"/>
      <c r="T365" s="2"/>
      <c r="U365" s="2"/>
      <c r="V365" s="2"/>
      <c r="W365" s="20"/>
      <c r="X365" s="2"/>
      <c r="Y365" s="131"/>
      <c r="Z365" s="20"/>
      <c r="AA365" s="2"/>
      <c r="AB365" s="25"/>
      <c r="AC365" s="2"/>
      <c r="AD365" s="25"/>
      <c r="AE365" s="25"/>
      <c r="AF365" s="2"/>
      <c r="AG365" s="2"/>
      <c r="AH365" s="29"/>
    </row>
    <row r="366" spans="1:34" x14ac:dyDescent="0.25">
      <c r="A366" s="2"/>
      <c r="B366" s="2"/>
      <c r="C366" s="20"/>
      <c r="D366" s="67"/>
      <c r="E366" s="67"/>
      <c r="F366" s="2"/>
      <c r="G366" s="67"/>
      <c r="H366" s="2"/>
      <c r="I366" s="20"/>
      <c r="J366" s="2"/>
      <c r="K366" s="20"/>
      <c r="L366" s="2"/>
      <c r="M366" s="20"/>
      <c r="N366" s="20"/>
      <c r="O366" s="114"/>
      <c r="P366" s="2"/>
      <c r="Q366" s="20"/>
      <c r="R366" s="114"/>
      <c r="S366" s="2"/>
      <c r="T366" s="2"/>
      <c r="U366" s="2"/>
      <c r="V366" s="2"/>
      <c r="W366" s="20"/>
      <c r="X366" s="2"/>
      <c r="Y366" s="131"/>
      <c r="Z366" s="20"/>
      <c r="AA366" s="2"/>
      <c r="AB366" s="25"/>
      <c r="AC366" s="2"/>
      <c r="AD366" s="25"/>
      <c r="AE366" s="25"/>
      <c r="AF366" s="2"/>
      <c r="AG366" s="2"/>
      <c r="AH366" s="29"/>
    </row>
    <row r="367" spans="1:34" x14ac:dyDescent="0.25">
      <c r="A367" s="2"/>
      <c r="B367" s="2"/>
      <c r="C367" s="20"/>
      <c r="D367" s="67"/>
      <c r="E367" s="67"/>
      <c r="F367" s="2"/>
      <c r="G367" s="67"/>
      <c r="H367" s="2"/>
      <c r="I367" s="20"/>
      <c r="J367" s="2"/>
      <c r="K367" s="20"/>
      <c r="L367" s="2"/>
      <c r="M367" s="20"/>
      <c r="N367" s="20"/>
      <c r="O367" s="114"/>
      <c r="P367" s="2"/>
      <c r="Q367" s="20"/>
      <c r="R367" s="114"/>
      <c r="S367" s="2"/>
      <c r="T367" s="2"/>
      <c r="U367" s="2"/>
      <c r="V367" s="2"/>
      <c r="W367" s="20"/>
      <c r="X367" s="2"/>
      <c r="Y367" s="131"/>
      <c r="Z367" s="20"/>
      <c r="AA367" s="2"/>
      <c r="AB367" s="25"/>
      <c r="AC367" s="2"/>
      <c r="AD367" s="25"/>
      <c r="AE367" s="25"/>
      <c r="AF367" s="2"/>
      <c r="AG367" s="2"/>
      <c r="AH367" s="29"/>
    </row>
    <row r="368" spans="1:34" ht="15.75" thickBot="1" x14ac:dyDescent="0.3">
      <c r="A368" s="37"/>
      <c r="B368" s="37"/>
      <c r="C368" s="29"/>
      <c r="D368" s="37"/>
      <c r="E368" s="37"/>
      <c r="F368" s="37"/>
      <c r="G368" s="38"/>
      <c r="H368" s="37"/>
      <c r="I368" s="29"/>
      <c r="J368" s="37"/>
      <c r="K368" s="29"/>
      <c r="L368" s="37"/>
      <c r="M368" s="29"/>
      <c r="N368" s="38"/>
      <c r="O368" s="119"/>
      <c r="P368" s="37"/>
      <c r="Q368" s="29"/>
      <c r="R368" s="119"/>
      <c r="S368" s="37"/>
      <c r="T368" s="37"/>
      <c r="U368" s="37"/>
      <c r="V368" s="37"/>
      <c r="W368" s="29"/>
      <c r="X368" s="37"/>
      <c r="Y368" s="132"/>
      <c r="Z368" s="29"/>
      <c r="AA368" s="37"/>
      <c r="AB368" s="37"/>
      <c r="AC368" s="37"/>
      <c r="AD368" s="38"/>
      <c r="AE368" s="38"/>
      <c r="AF368" s="37"/>
      <c r="AG368" s="37"/>
      <c r="AH368" s="29"/>
    </row>
    <row r="369" spans="1:35" x14ac:dyDescent="0.25">
      <c r="A369" s="39" t="s">
        <v>60</v>
      </c>
      <c r="B369" s="40"/>
      <c r="C369" s="40"/>
      <c r="D369" s="40"/>
      <c r="E369" s="40"/>
      <c r="F369" s="40"/>
      <c r="G369" s="42"/>
      <c r="H369" s="40"/>
      <c r="I369" s="40"/>
      <c r="J369" s="40"/>
      <c r="K369" s="40"/>
      <c r="L369" s="40"/>
      <c r="M369" s="40"/>
      <c r="N369" s="42"/>
      <c r="O369" s="120"/>
      <c r="P369" s="40"/>
      <c r="Q369" s="41"/>
      <c r="R369" s="120"/>
      <c r="S369" s="40"/>
      <c r="T369" s="40"/>
      <c r="U369" s="40"/>
      <c r="V369" s="40"/>
      <c r="W369" s="41"/>
      <c r="X369" s="40"/>
      <c r="Y369" s="133"/>
      <c r="Z369" s="41"/>
      <c r="AA369" s="40"/>
      <c r="AB369" s="40"/>
      <c r="AC369" s="40"/>
      <c r="AD369" s="42"/>
      <c r="AE369" s="40"/>
      <c r="AF369" s="40"/>
      <c r="AG369" s="43"/>
    </row>
    <row r="370" spans="1:35" x14ac:dyDescent="0.25">
      <c r="A370" s="44" t="s">
        <v>62</v>
      </c>
      <c r="B370" s="45">
        <f>B20-B16</f>
        <v>3.51</v>
      </c>
      <c r="C370" s="45"/>
      <c r="D370" s="45" t="s">
        <v>63</v>
      </c>
      <c r="E370" s="45"/>
      <c r="F370" s="45" t="s">
        <v>63</v>
      </c>
      <c r="G370" s="46"/>
      <c r="H370" s="45" t="s">
        <v>63</v>
      </c>
      <c r="I370" s="45"/>
      <c r="J370" s="45">
        <f>J20-J16</f>
        <v>10.5</v>
      </c>
      <c r="K370" s="45"/>
      <c r="L370" s="45" t="s">
        <v>63</v>
      </c>
      <c r="M370" s="45"/>
      <c r="N370" s="46"/>
      <c r="O370" s="121" t="s">
        <v>63</v>
      </c>
      <c r="P370" s="45"/>
      <c r="Q370" s="35"/>
      <c r="R370" s="121" t="s">
        <v>63</v>
      </c>
      <c r="S370" s="45"/>
      <c r="T370" s="45"/>
      <c r="U370" s="45">
        <f>U20-U16</f>
        <v>425</v>
      </c>
      <c r="V370" s="45"/>
      <c r="W370" s="35"/>
      <c r="X370" s="45">
        <f>X20-X16</f>
        <v>1158</v>
      </c>
      <c r="Y370" s="134"/>
      <c r="Z370" s="35"/>
      <c r="AA370" s="45">
        <f>AA20-AA16</f>
        <v>47.799999999999955</v>
      </c>
      <c r="AB370" s="45"/>
      <c r="AC370" s="45"/>
      <c r="AD370" s="46"/>
      <c r="AE370" s="45" t="s">
        <v>63</v>
      </c>
      <c r="AF370" s="45"/>
      <c r="AG370" s="47"/>
    </row>
    <row r="371" spans="1:35" x14ac:dyDescent="0.25">
      <c r="A371" s="44" t="s">
        <v>61</v>
      </c>
      <c r="B371" s="48">
        <f>(B20-B13)/3</f>
        <v>1.7166666666666668</v>
      </c>
      <c r="C371" s="48"/>
      <c r="D371" s="48">
        <f>(D20-D13)/3</f>
        <v>0.83333333333333337</v>
      </c>
      <c r="E371" s="48"/>
      <c r="F371" s="48">
        <f>(F20-F13)/3</f>
        <v>6.9663333333333322</v>
      </c>
      <c r="G371" s="46"/>
      <c r="H371" s="48">
        <f>(H20-H13)/3</f>
        <v>0.26</v>
      </c>
      <c r="I371" s="48"/>
      <c r="J371" s="48">
        <f>(J20-J13)/3</f>
        <v>6.1166666666666671</v>
      </c>
      <c r="K371" s="48"/>
      <c r="L371" s="48">
        <f>(L20-L13)/3</f>
        <v>4.55</v>
      </c>
      <c r="M371" s="48"/>
      <c r="N371" s="46"/>
      <c r="O371" s="121">
        <f>(O20-O13)/3</f>
        <v>593</v>
      </c>
      <c r="P371" s="48"/>
      <c r="Q371" s="35"/>
      <c r="R371" s="121">
        <f>(R20-R13)/3</f>
        <v>133</v>
      </c>
      <c r="S371" s="48"/>
      <c r="T371" s="48"/>
      <c r="U371" s="48" t="s">
        <v>63</v>
      </c>
      <c r="V371" s="48"/>
      <c r="W371" s="35"/>
      <c r="X371" s="48">
        <f>(X20-X13)/3</f>
        <v>679.66666666666663</v>
      </c>
      <c r="Y371" s="134"/>
      <c r="Z371" s="35"/>
      <c r="AA371" s="48">
        <f>(AA20-AA13)/3</f>
        <v>25.933333333333319</v>
      </c>
      <c r="AB371" s="48"/>
      <c r="AC371" s="48"/>
      <c r="AD371" s="46"/>
      <c r="AE371" s="48" t="s">
        <v>63</v>
      </c>
      <c r="AF371" s="48"/>
      <c r="AG371" s="49"/>
    </row>
    <row r="372" spans="1:35" x14ac:dyDescent="0.25">
      <c r="A372" s="44" t="s">
        <v>74</v>
      </c>
      <c r="B372" s="48"/>
      <c r="C372" s="48"/>
      <c r="D372" s="48"/>
      <c r="E372" s="48"/>
      <c r="F372" s="48"/>
      <c r="G372" s="46"/>
      <c r="H372" s="48"/>
      <c r="I372" s="48"/>
      <c r="J372" s="48"/>
      <c r="K372" s="48"/>
      <c r="L372" s="48"/>
      <c r="M372" s="48"/>
      <c r="N372" s="46"/>
      <c r="O372" s="121"/>
      <c r="P372" s="48"/>
      <c r="Q372" s="35"/>
      <c r="R372" s="121"/>
      <c r="S372" s="48"/>
      <c r="T372" s="48"/>
      <c r="U372" s="48"/>
      <c r="V372" s="48"/>
      <c r="W372" s="35"/>
      <c r="X372" s="48"/>
      <c r="Y372" s="134"/>
      <c r="Z372" s="35"/>
      <c r="AA372" s="48"/>
      <c r="AB372" s="48"/>
      <c r="AC372" s="48"/>
      <c r="AD372" s="46"/>
      <c r="AE372" s="48"/>
      <c r="AF372" s="48"/>
      <c r="AG372" s="49"/>
    </row>
    <row r="373" spans="1:35" x14ac:dyDescent="0.25">
      <c r="A373" s="44" t="s">
        <v>75</v>
      </c>
      <c r="B373" s="48"/>
      <c r="C373" s="48"/>
      <c r="D373" s="48"/>
      <c r="E373" s="48"/>
      <c r="F373" s="48"/>
      <c r="G373" s="46"/>
      <c r="H373" s="48"/>
      <c r="I373" s="48"/>
      <c r="J373" s="48"/>
      <c r="K373" s="48"/>
      <c r="L373" s="48"/>
      <c r="M373" s="48"/>
      <c r="N373" s="46"/>
      <c r="O373" s="121"/>
      <c r="P373" s="48"/>
      <c r="Q373" s="35"/>
      <c r="R373" s="121"/>
      <c r="S373" s="48"/>
      <c r="T373" s="48"/>
      <c r="U373" s="48"/>
      <c r="V373" s="48"/>
      <c r="W373" s="35"/>
      <c r="X373" s="48"/>
      <c r="Y373" s="134"/>
      <c r="Z373" s="35"/>
      <c r="AA373" s="48"/>
      <c r="AB373" s="48"/>
      <c r="AC373" s="48"/>
      <c r="AD373" s="46"/>
      <c r="AE373" s="48"/>
      <c r="AF373" s="48"/>
      <c r="AG373" s="49"/>
    </row>
    <row r="374" spans="1:35" ht="15.75" thickBot="1" x14ac:dyDescent="0.3">
      <c r="A374" s="50"/>
      <c r="B374" s="51"/>
      <c r="C374" s="51"/>
      <c r="D374" s="51"/>
      <c r="E374" s="51"/>
      <c r="F374" s="51"/>
      <c r="G374" s="53"/>
      <c r="H374" s="51"/>
      <c r="I374" s="51"/>
      <c r="J374" s="51"/>
      <c r="K374" s="51"/>
      <c r="L374" s="51"/>
      <c r="M374" s="51"/>
      <c r="N374" s="53"/>
      <c r="O374" s="122"/>
      <c r="P374" s="51"/>
      <c r="Q374" s="52"/>
      <c r="R374" s="122"/>
      <c r="S374" s="51"/>
      <c r="T374" s="51"/>
      <c r="U374" s="51"/>
      <c r="V374" s="51"/>
      <c r="W374" s="52"/>
      <c r="X374" s="51"/>
      <c r="Y374" s="135"/>
      <c r="Z374" s="52"/>
      <c r="AA374" s="51"/>
      <c r="AB374" s="51"/>
      <c r="AC374" s="51"/>
      <c r="AD374" s="53"/>
      <c r="AE374" s="51"/>
      <c r="AF374" s="51"/>
      <c r="AG374" s="54"/>
    </row>
    <row r="375" spans="1:35" s="60" customFormat="1" x14ac:dyDescent="0.25">
      <c r="A375" s="55"/>
      <c r="B375" s="56"/>
      <c r="C375" s="56"/>
      <c r="D375" s="56"/>
      <c r="E375" s="56"/>
      <c r="F375" s="56"/>
      <c r="G375" s="58"/>
      <c r="H375" s="56"/>
      <c r="I375" s="56"/>
      <c r="J375" s="56"/>
      <c r="K375" s="56"/>
      <c r="L375" s="56"/>
      <c r="M375" s="56"/>
      <c r="N375" s="58"/>
      <c r="O375" s="123"/>
      <c r="P375" s="56"/>
      <c r="Q375" s="57"/>
      <c r="R375" s="123"/>
      <c r="S375" s="56"/>
      <c r="T375" s="56"/>
      <c r="U375" s="56"/>
      <c r="V375" s="56"/>
      <c r="W375" s="57"/>
      <c r="X375" s="56"/>
      <c r="Y375" s="136"/>
      <c r="Z375" s="57"/>
      <c r="AA375" s="56"/>
      <c r="AB375" s="56"/>
      <c r="AC375" s="56"/>
      <c r="AD375" s="58"/>
      <c r="AE375" s="56"/>
      <c r="AF375" s="56"/>
      <c r="AG375" s="56"/>
      <c r="AH375" s="59"/>
    </row>
    <row r="376" spans="1:35" s="60" customFormat="1" x14ac:dyDescent="0.25">
      <c r="A376" s="55"/>
      <c r="B376" s="56"/>
      <c r="C376" s="56"/>
      <c r="D376" s="56"/>
      <c r="E376" s="56"/>
      <c r="F376" s="56"/>
      <c r="G376" s="58"/>
      <c r="H376" s="56"/>
      <c r="I376" s="56"/>
      <c r="J376" s="56"/>
      <c r="K376" s="56"/>
      <c r="L376" s="56"/>
      <c r="M376" s="56"/>
      <c r="N376" s="58"/>
      <c r="O376" s="123"/>
      <c r="P376" s="56"/>
      <c r="Q376" s="57"/>
      <c r="R376" s="123"/>
      <c r="S376" s="56"/>
      <c r="T376" s="56"/>
      <c r="U376" s="56"/>
      <c r="V376" s="56"/>
      <c r="W376" s="57"/>
      <c r="X376" s="56"/>
      <c r="Y376" s="136"/>
      <c r="Z376" s="57"/>
      <c r="AA376" s="56"/>
      <c r="AB376" s="56"/>
      <c r="AC376" s="56"/>
      <c r="AD376" s="58"/>
      <c r="AE376" s="56"/>
      <c r="AF376" s="56"/>
      <c r="AG376" s="56"/>
      <c r="AH376" s="59"/>
    </row>
    <row r="377" spans="1:35" s="60" customFormat="1" x14ac:dyDescent="0.25">
      <c r="A377" s="55"/>
      <c r="B377" s="56"/>
      <c r="C377" s="56"/>
      <c r="D377" s="56"/>
      <c r="E377" s="56"/>
      <c r="F377" s="56"/>
      <c r="G377" s="58"/>
      <c r="H377" s="56"/>
      <c r="I377" s="56"/>
      <c r="J377" s="56"/>
      <c r="K377" s="56"/>
      <c r="L377" s="56"/>
      <c r="M377" s="56"/>
      <c r="N377" s="58"/>
      <c r="O377" s="123"/>
      <c r="P377" s="56"/>
      <c r="Q377" s="57"/>
      <c r="R377" s="123"/>
      <c r="S377" s="56"/>
      <c r="T377" s="56"/>
      <c r="U377" s="56"/>
      <c r="V377" s="56"/>
      <c r="W377" s="57"/>
      <c r="X377" s="56"/>
      <c r="Y377" s="136"/>
      <c r="Z377" s="57"/>
      <c r="AA377" s="56"/>
      <c r="AB377" s="56"/>
      <c r="AC377" s="56"/>
      <c r="AD377" s="58"/>
      <c r="AE377" s="56"/>
      <c r="AF377" s="56"/>
      <c r="AG377" s="56"/>
      <c r="AH377" s="59"/>
    </row>
    <row r="378" spans="1:35" s="60" customFormat="1" x14ac:dyDescent="0.25">
      <c r="A378" s="55"/>
      <c r="B378" s="56"/>
      <c r="C378" s="56"/>
      <c r="D378" s="56"/>
      <c r="E378" s="56"/>
      <c r="F378" s="56"/>
      <c r="G378" s="58"/>
      <c r="H378" s="56"/>
      <c r="I378" s="56"/>
      <c r="J378" s="56"/>
      <c r="K378" s="56"/>
      <c r="L378" s="56"/>
      <c r="M378" s="56"/>
      <c r="N378" s="58"/>
      <c r="O378" s="123"/>
      <c r="P378" s="56"/>
      <c r="Q378" s="57"/>
      <c r="R378" s="123"/>
      <c r="S378" s="56"/>
      <c r="T378" s="56"/>
      <c r="U378" s="56"/>
      <c r="V378" s="56"/>
      <c r="W378" s="57"/>
      <c r="X378" s="56"/>
      <c r="Y378" s="136"/>
      <c r="Z378" s="57"/>
      <c r="AA378" s="56"/>
      <c r="AB378" s="56"/>
      <c r="AC378" s="56"/>
      <c r="AD378" s="58"/>
      <c r="AE378" s="56"/>
      <c r="AF378" s="56"/>
      <c r="AG378" s="56"/>
      <c r="AH378" s="59"/>
    </row>
    <row r="379" spans="1:35" s="60" customFormat="1" x14ac:dyDescent="0.25">
      <c r="A379" s="55"/>
      <c r="B379" s="56"/>
      <c r="C379" s="56"/>
      <c r="D379" s="56"/>
      <c r="E379" s="56"/>
      <c r="F379" s="56"/>
      <c r="G379" s="58"/>
      <c r="H379" s="56"/>
      <c r="I379" s="56"/>
      <c r="J379" s="56"/>
      <c r="K379" s="56"/>
      <c r="L379" s="56"/>
      <c r="M379" s="56"/>
      <c r="N379" s="58"/>
      <c r="O379" s="123"/>
      <c r="P379" s="56"/>
      <c r="Q379" s="57"/>
      <c r="R379" s="123"/>
      <c r="S379" s="56"/>
      <c r="T379" s="56"/>
      <c r="U379" s="56"/>
      <c r="V379" s="56"/>
      <c r="W379" s="57"/>
      <c r="X379" s="56"/>
      <c r="Y379" s="136"/>
      <c r="Z379" s="57"/>
      <c r="AA379" s="56"/>
      <c r="AB379" s="56"/>
      <c r="AC379" s="56"/>
      <c r="AD379" s="58"/>
      <c r="AE379" s="56"/>
      <c r="AF379" s="56"/>
      <c r="AG379" s="56"/>
      <c r="AH379" s="59"/>
    </row>
    <row r="380" spans="1:35" x14ac:dyDescent="0.25">
      <c r="G380" s="21"/>
    </row>
    <row r="381" spans="1:35" x14ac:dyDescent="0.25">
      <c r="A381" t="s">
        <v>64</v>
      </c>
      <c r="G381" s="21"/>
    </row>
    <row r="382" spans="1:35" x14ac:dyDescent="0.25">
      <c r="A382" t="s">
        <v>66</v>
      </c>
      <c r="B382" s="9"/>
      <c r="C382" s="9"/>
      <c r="D382" s="9"/>
      <c r="E382" s="9"/>
      <c r="F382" s="9"/>
      <c r="G382" s="21"/>
      <c r="H382" s="9"/>
      <c r="I382" s="9"/>
      <c r="J382" s="9"/>
      <c r="K382" s="9"/>
      <c r="L382" s="9"/>
      <c r="M382" s="9"/>
      <c r="P382" s="9"/>
      <c r="S382" s="9"/>
      <c r="T382" s="9"/>
      <c r="U382" s="9"/>
      <c r="V382" s="9"/>
      <c r="X382" s="9">
        <f>(X370*7510/677)*0.05</f>
        <v>642.28803545051699</v>
      </c>
      <c r="AA382" s="9"/>
      <c r="AB382" s="9"/>
      <c r="AC382" s="9"/>
      <c r="AE382" s="9"/>
      <c r="AF382" s="9"/>
      <c r="AG382" s="9"/>
      <c r="AI382" s="9"/>
    </row>
    <row r="383" spans="1:35" x14ac:dyDescent="0.25">
      <c r="B383" s="9"/>
      <c r="C383" s="9"/>
      <c r="D383" s="9"/>
      <c r="E383" s="9"/>
      <c r="F383" s="9"/>
      <c r="G383" s="21"/>
      <c r="H383" s="9"/>
      <c r="I383" s="9"/>
      <c r="J383" s="9"/>
      <c r="K383" s="9"/>
      <c r="L383" s="9"/>
      <c r="M383" s="9"/>
      <c r="P383" s="9"/>
      <c r="S383" s="9"/>
      <c r="T383" s="9"/>
      <c r="U383" s="9"/>
      <c r="V383" s="9"/>
      <c r="X383" s="9">
        <f>(X371*7510/677)*0.05</f>
        <v>376.97907434761197</v>
      </c>
      <c r="AA383" s="9"/>
      <c r="AB383" s="9"/>
      <c r="AC383" s="9"/>
      <c r="AE383" s="9"/>
      <c r="AF383" s="9"/>
      <c r="AG383" s="9"/>
      <c r="AI383" s="9"/>
    </row>
    <row r="384" spans="1:35" x14ac:dyDescent="0.25">
      <c r="B384" s="9"/>
      <c r="C384" s="9"/>
      <c r="D384" s="9"/>
      <c r="E384" s="9"/>
      <c r="F384" s="9"/>
      <c r="G384" s="21"/>
      <c r="H384" s="9"/>
      <c r="I384" s="9"/>
      <c r="J384" s="9"/>
      <c r="K384" s="9"/>
      <c r="L384" s="9"/>
      <c r="M384" s="9"/>
      <c r="P384" s="9"/>
      <c r="S384" s="9"/>
      <c r="T384" s="9"/>
      <c r="U384" s="9"/>
      <c r="V384" s="9"/>
      <c r="X384" s="9"/>
      <c r="AA384" s="9"/>
      <c r="AB384" s="9"/>
      <c r="AC384" s="9"/>
      <c r="AE384" s="9"/>
      <c r="AF384" s="9"/>
      <c r="AG384" s="9"/>
      <c r="AI384" s="9"/>
    </row>
    <row r="385" spans="1:35" x14ac:dyDescent="0.25">
      <c r="B385" s="9"/>
      <c r="C385" s="9"/>
      <c r="D385" s="9"/>
      <c r="E385" s="9"/>
      <c r="F385" s="9"/>
      <c r="G385" s="21"/>
      <c r="H385" s="9"/>
      <c r="I385" s="9"/>
      <c r="J385" s="9"/>
      <c r="K385" s="9"/>
      <c r="L385" s="9"/>
      <c r="M385" s="9"/>
      <c r="P385" s="9"/>
      <c r="S385" s="9"/>
      <c r="T385" s="9"/>
      <c r="U385" s="9"/>
      <c r="V385" s="9"/>
      <c r="X385" s="9"/>
      <c r="AA385" s="9"/>
      <c r="AB385" s="9"/>
      <c r="AC385" s="9"/>
      <c r="AE385" s="9"/>
      <c r="AF385" s="9"/>
      <c r="AG385" s="9"/>
      <c r="AI385" s="9"/>
    </row>
    <row r="386" spans="1:35" x14ac:dyDescent="0.25">
      <c r="A386" t="s">
        <v>65</v>
      </c>
      <c r="B386" s="9"/>
      <c r="C386" s="9"/>
      <c r="D386" s="9"/>
      <c r="E386" s="9"/>
      <c r="F386" s="9"/>
      <c r="G386" s="21"/>
      <c r="H386" s="9"/>
      <c r="I386" s="9"/>
      <c r="J386" s="9"/>
      <c r="K386" s="9"/>
      <c r="L386" s="9"/>
      <c r="M386" s="9"/>
      <c r="P386" s="9"/>
      <c r="S386" s="9"/>
      <c r="T386" s="9"/>
      <c r="U386" s="9"/>
      <c r="V386" s="9"/>
      <c r="X386" s="9"/>
      <c r="AA386" s="9"/>
      <c r="AB386" s="9"/>
      <c r="AC386" s="9"/>
      <c r="AE386" s="9"/>
      <c r="AF386" s="9"/>
      <c r="AG386" s="9"/>
      <c r="AI386" s="9"/>
    </row>
    <row r="387" spans="1:35" x14ac:dyDescent="0.25">
      <c r="B387" s="9"/>
      <c r="C387" s="9"/>
      <c r="D387" s="9"/>
      <c r="E387" s="9"/>
      <c r="F387" s="9"/>
      <c r="G387" s="21"/>
      <c r="H387" s="9"/>
      <c r="I387" s="9"/>
      <c r="J387" s="9"/>
      <c r="K387" s="9"/>
      <c r="L387" s="9"/>
      <c r="M387" s="9"/>
      <c r="O387" s="111">
        <f>O371*0.2897</f>
        <v>171.7921</v>
      </c>
      <c r="P387" s="9"/>
      <c r="S387" s="9"/>
      <c r="T387" s="9"/>
      <c r="U387" s="9">
        <f>U370*0.305</f>
        <v>129.625</v>
      </c>
      <c r="V387" s="9"/>
      <c r="X387" s="9"/>
      <c r="AA387" s="9"/>
      <c r="AB387" s="9"/>
      <c r="AC387" s="9"/>
      <c r="AE387" s="9"/>
      <c r="AF387" s="9"/>
      <c r="AG387" s="9"/>
      <c r="AI387" s="9"/>
    </row>
    <row r="388" spans="1:35" x14ac:dyDescent="0.25">
      <c r="B388" s="9"/>
      <c r="C388" s="9"/>
      <c r="D388" s="9"/>
      <c r="E388" s="9"/>
      <c r="F388" s="9"/>
      <c r="G388" s="21"/>
      <c r="H388" s="9"/>
      <c r="I388" s="9"/>
      <c r="J388" s="9"/>
      <c r="K388" s="9"/>
      <c r="L388" s="9"/>
      <c r="M388" s="9"/>
      <c r="P388" s="9"/>
      <c r="S388" s="9"/>
      <c r="T388" s="9"/>
      <c r="U388" s="9">
        <f>((U20-U16)/2)*0.305</f>
        <v>64.8125</v>
      </c>
      <c r="V388" s="9"/>
      <c r="X388" s="9"/>
      <c r="AA388" s="9"/>
      <c r="AB388" s="9"/>
      <c r="AC388" s="9"/>
      <c r="AE388" s="9"/>
      <c r="AF388" s="9"/>
      <c r="AG388" s="9"/>
      <c r="AI388" s="9"/>
    </row>
    <row r="389" spans="1:35" x14ac:dyDescent="0.25">
      <c r="B389" s="9"/>
      <c r="C389" s="9"/>
      <c r="D389" s="9"/>
      <c r="E389" s="9"/>
      <c r="F389" s="9"/>
      <c r="G389" s="21"/>
      <c r="H389" s="9"/>
      <c r="I389" s="9"/>
      <c r="J389" s="9"/>
      <c r="K389" s="9"/>
      <c r="L389" s="9"/>
      <c r="M389" s="9"/>
      <c r="P389" s="9"/>
      <c r="S389" s="9"/>
      <c r="T389" s="9"/>
      <c r="U389" s="9">
        <f>((U20-U11)/4)*0.305</f>
        <v>67.176249999999996</v>
      </c>
      <c r="V389" s="9"/>
      <c r="X389" s="9"/>
      <c r="AA389" s="9"/>
      <c r="AB389" s="9"/>
      <c r="AC389" s="9"/>
      <c r="AE389" s="9"/>
      <c r="AF389" s="9"/>
      <c r="AG389" s="9"/>
      <c r="AI389" s="9"/>
    </row>
    <row r="390" spans="1:35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P390" s="9"/>
      <c r="S390" s="9"/>
      <c r="T390" s="9"/>
      <c r="U390" s="9">
        <f>((U20-U9)/8)*0.302</f>
        <v>56.323</v>
      </c>
      <c r="V390" s="9"/>
      <c r="X390" s="9"/>
      <c r="AA390" s="9"/>
      <c r="AB390" s="9"/>
      <c r="AC390" s="9"/>
      <c r="AE390" s="9"/>
      <c r="AF390" s="9"/>
      <c r="AG390" s="9"/>
      <c r="AI390" s="9"/>
    </row>
    <row r="391" spans="1:35" x14ac:dyDescent="0.25">
      <c r="B391" s="9"/>
      <c r="C391" s="9"/>
      <c r="D391" s="9">
        <f>40000*677/7510</f>
        <v>3605.8588548601865</v>
      </c>
      <c r="E391" s="9"/>
      <c r="F391" s="9"/>
      <c r="G391" s="9"/>
      <c r="H391" s="9"/>
      <c r="I391" s="9"/>
      <c r="J391" s="9"/>
      <c r="K391" s="9"/>
      <c r="L391" s="9"/>
      <c r="M391" s="9"/>
      <c r="P391" s="9"/>
      <c r="S391" s="9"/>
      <c r="T391" s="9"/>
      <c r="U391" s="9"/>
      <c r="V391" s="9"/>
      <c r="X391" s="9"/>
      <c r="AA391" s="9"/>
      <c r="AB391" s="9"/>
      <c r="AC391" s="9"/>
      <c r="AE391" s="9"/>
      <c r="AF391" s="9"/>
      <c r="AG391" s="9"/>
      <c r="AI391" s="9"/>
    </row>
    <row r="392" spans="1:35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P392" s="9"/>
      <c r="S392" s="9"/>
      <c r="T392" s="9"/>
      <c r="U392" s="9"/>
      <c r="V392" s="9"/>
      <c r="X392" s="9"/>
      <c r="AA392" s="9"/>
      <c r="AB392" s="9"/>
      <c r="AC392" s="9"/>
      <c r="AE392" s="9"/>
      <c r="AF392" s="9"/>
      <c r="AG392" s="9"/>
      <c r="AI392" s="9"/>
    </row>
    <row r="393" spans="1:35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P393" s="9"/>
      <c r="S393" s="9"/>
      <c r="T393" s="9"/>
      <c r="U393" s="9"/>
      <c r="V393" s="9"/>
      <c r="X393" s="9"/>
      <c r="AA393" s="9"/>
      <c r="AB393" s="9"/>
      <c r="AC393" s="9"/>
      <c r="AE393" s="9"/>
      <c r="AF393" s="9"/>
      <c r="AG393" s="9"/>
      <c r="AI393" s="9"/>
    </row>
  </sheetData>
  <hyperlinks>
    <hyperlink ref="AG6" r:id="rId1" location="tabelle" display="https://www.wetterkontor.de/de/wetter/deutschland/rueckblick.asp?id=170#tabelle" xr:uid="{8FB430AF-4E62-4FB8-BC0D-230181E9C371}"/>
  </hyperlinks>
  <pageMargins left="0.7" right="0.7" top="0.78740157499999996" bottom="0.78740157499999996" header="0.3" footer="0.3"/>
  <pageSetup paperSize="9" scale="33" fitToHeight="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864F-531D-4703-B854-B313C480C3E1}">
  <dimension ref="A1:AU18"/>
  <sheetViews>
    <sheetView topLeftCell="AD2" zoomScale="80" zoomScaleNormal="80" workbookViewId="0">
      <selection activeCell="AM3" sqref="AM3"/>
    </sheetView>
  </sheetViews>
  <sheetFormatPr baseColWidth="10" defaultRowHeight="15" x14ac:dyDescent="0.25"/>
  <cols>
    <col min="1" max="1" width="32.85546875" customWidth="1"/>
    <col min="3" max="3" width="14.140625" customWidth="1"/>
    <col min="13" max="13" width="13.42578125" customWidth="1"/>
    <col min="14" max="14" width="13.28515625" customWidth="1"/>
    <col min="35" max="35" width="14.5703125" customWidth="1"/>
    <col min="36" max="36" width="11.42578125" style="9" customWidth="1"/>
    <col min="37" max="37" width="12.28515625" style="9" customWidth="1"/>
    <col min="38" max="39" width="19.5703125" style="9" customWidth="1"/>
    <col min="40" max="40" width="50.140625" customWidth="1"/>
    <col min="41" max="41" width="23" customWidth="1"/>
    <col min="42" max="42" width="11.42578125" style="9"/>
    <col min="44" max="47" width="11.42578125" style="9"/>
  </cols>
  <sheetData>
    <row r="1" spans="1:47" ht="15.75" thickBot="1" x14ac:dyDescent="0.3">
      <c r="A1" t="s">
        <v>99</v>
      </c>
    </row>
    <row r="2" spans="1:47" ht="165" x14ac:dyDescent="0.25">
      <c r="A2" s="1" t="s">
        <v>49</v>
      </c>
      <c r="B2" s="3" t="s">
        <v>0</v>
      </c>
      <c r="C2" s="94" t="s">
        <v>103</v>
      </c>
      <c r="D2" s="3" t="s">
        <v>1</v>
      </c>
      <c r="E2" s="94" t="s">
        <v>104</v>
      </c>
      <c r="F2" s="91" t="s">
        <v>2</v>
      </c>
      <c r="G2" s="91" t="s">
        <v>95</v>
      </c>
      <c r="H2" s="3" t="s">
        <v>3</v>
      </c>
      <c r="I2" s="91" t="s">
        <v>96</v>
      </c>
      <c r="J2" s="3" t="s">
        <v>4</v>
      </c>
      <c r="K2" s="96" t="s">
        <v>105</v>
      </c>
      <c r="L2" s="14" t="s">
        <v>87</v>
      </c>
      <c r="M2" s="95" t="s">
        <v>97</v>
      </c>
      <c r="N2" s="64" t="s">
        <v>88</v>
      </c>
      <c r="O2" s="6" t="s">
        <v>54</v>
      </c>
      <c r="P2" s="12" t="s">
        <v>106</v>
      </c>
      <c r="Q2" s="13" t="s">
        <v>107</v>
      </c>
      <c r="R2" s="6" t="s">
        <v>55</v>
      </c>
      <c r="S2" s="12" t="s">
        <v>106</v>
      </c>
      <c r="T2" s="12" t="s">
        <v>107</v>
      </c>
      <c r="U2" s="6" t="s">
        <v>56</v>
      </c>
      <c r="V2" s="12" t="s">
        <v>106</v>
      </c>
      <c r="W2" s="13" t="s">
        <v>107</v>
      </c>
      <c r="X2" s="6" t="s">
        <v>57</v>
      </c>
      <c r="Y2" s="12" t="s">
        <v>106</v>
      </c>
      <c r="Z2" s="13" t="s">
        <v>107</v>
      </c>
      <c r="AA2" s="6" t="s">
        <v>58</v>
      </c>
      <c r="AB2" s="12" t="s">
        <v>106</v>
      </c>
      <c r="AC2" s="12" t="s">
        <v>107</v>
      </c>
      <c r="AD2" s="22" t="s">
        <v>77</v>
      </c>
      <c r="AE2" s="6" t="s">
        <v>59</v>
      </c>
      <c r="AF2" s="12" t="s">
        <v>72</v>
      </c>
      <c r="AG2" s="26" t="s">
        <v>71</v>
      </c>
      <c r="AH2" s="27"/>
      <c r="AI2" s="11" t="s">
        <v>126</v>
      </c>
      <c r="AJ2" s="140" t="s">
        <v>131</v>
      </c>
      <c r="AK2" s="140" t="s">
        <v>140</v>
      </c>
      <c r="AL2" s="138" t="s">
        <v>130</v>
      </c>
      <c r="AM2" s="138" t="s">
        <v>143</v>
      </c>
      <c r="AN2" s="138" t="s">
        <v>132</v>
      </c>
      <c r="AO2" s="138" t="s">
        <v>134</v>
      </c>
      <c r="AP2" s="138" t="s">
        <v>133</v>
      </c>
      <c r="AQ2" s="138" t="s">
        <v>135</v>
      </c>
      <c r="AR2" s="138" t="s">
        <v>136</v>
      </c>
      <c r="AS2" s="138" t="s">
        <v>135</v>
      </c>
      <c r="AT2" s="138" t="s">
        <v>137</v>
      </c>
      <c r="AU2" s="138" t="s">
        <v>135</v>
      </c>
    </row>
    <row r="3" spans="1:47" s="60" customFormat="1" x14ac:dyDescent="0.25">
      <c r="A3" s="32" t="s">
        <v>100</v>
      </c>
      <c r="B3" s="66"/>
      <c r="C3" s="34">
        <v>0.67999999999999972</v>
      </c>
      <c r="D3" s="61" t="s">
        <v>63</v>
      </c>
      <c r="E3" s="66">
        <v>0.87999999999999989</v>
      </c>
      <c r="F3" s="61" t="s">
        <v>63</v>
      </c>
      <c r="G3" s="66">
        <v>6.7299999999999969</v>
      </c>
      <c r="H3" s="61" t="s">
        <v>63</v>
      </c>
      <c r="I3" s="66">
        <v>0.37</v>
      </c>
      <c r="J3" s="61" t="s">
        <v>63</v>
      </c>
      <c r="K3" s="66">
        <v>5</v>
      </c>
      <c r="L3" s="61" t="s">
        <v>63</v>
      </c>
      <c r="M3" s="66">
        <v>3.9600000000000009</v>
      </c>
      <c r="N3" s="66">
        <v>2.769999999999996</v>
      </c>
      <c r="O3" s="33"/>
      <c r="P3" s="33">
        <v>497</v>
      </c>
      <c r="Q3" s="109">
        <v>143.98090000000002</v>
      </c>
      <c r="R3" s="34" t="s">
        <v>63</v>
      </c>
      <c r="S3" s="34">
        <v>117</v>
      </c>
      <c r="T3" s="34"/>
      <c r="U3" s="34"/>
      <c r="V3" s="34">
        <v>94</v>
      </c>
      <c r="W3" s="109">
        <v>28.200000000000003</v>
      </c>
      <c r="X3" s="34"/>
      <c r="Y3" s="34">
        <v>497</v>
      </c>
      <c r="Z3" s="109">
        <v>486.26861742983749</v>
      </c>
      <c r="AA3" s="34"/>
      <c r="AB3" s="61">
        <v>20.700000000000045</v>
      </c>
      <c r="AC3" s="34"/>
      <c r="AD3" s="34"/>
      <c r="AE3" s="61"/>
      <c r="AF3" s="34"/>
      <c r="AG3" s="34"/>
      <c r="AH3" s="57"/>
      <c r="AI3" s="60">
        <v>21.9</v>
      </c>
      <c r="AJ3" s="59">
        <v>432</v>
      </c>
      <c r="AK3" s="59">
        <f>AJ3-AI3</f>
        <v>410.1</v>
      </c>
      <c r="AL3" s="59">
        <f>Z3+AI3</f>
        <v>508.16861742983747</v>
      </c>
      <c r="AM3" s="59"/>
      <c r="AN3" s="60" t="s">
        <v>138</v>
      </c>
      <c r="AO3" s="142">
        <v>0.78500000000000003</v>
      </c>
      <c r="AP3" s="59">
        <v>100</v>
      </c>
      <c r="AQ3" s="146">
        <f>AP3*1.785</f>
        <v>178.5</v>
      </c>
      <c r="AR3" s="59">
        <v>15</v>
      </c>
      <c r="AS3" s="147">
        <f>AR3*1.785</f>
        <v>26.774999999999999</v>
      </c>
      <c r="AT3" s="59">
        <v>15</v>
      </c>
      <c r="AU3" s="147">
        <f>AT3*1.785</f>
        <v>26.774999999999999</v>
      </c>
    </row>
    <row r="4" spans="1:47" s="60" customFormat="1" x14ac:dyDescent="0.25">
      <c r="A4" s="32" t="s">
        <v>101</v>
      </c>
      <c r="B4" s="66"/>
      <c r="C4" s="34">
        <v>1.33</v>
      </c>
      <c r="D4" s="61"/>
      <c r="E4" s="66">
        <v>0.9700000000000002</v>
      </c>
      <c r="F4" s="61"/>
      <c r="G4" s="66">
        <v>8.5300000000000011</v>
      </c>
      <c r="H4" s="61"/>
      <c r="I4" s="66">
        <v>0.37999999999999989</v>
      </c>
      <c r="J4" s="61"/>
      <c r="K4" s="66">
        <v>6.9199999999999973</v>
      </c>
      <c r="L4" s="61"/>
      <c r="M4" s="66">
        <v>5.1499999999999986</v>
      </c>
      <c r="N4" s="66">
        <v>3.3800000000000026</v>
      </c>
      <c r="O4" s="33"/>
      <c r="P4" s="33">
        <v>464</v>
      </c>
      <c r="Q4" s="109">
        <v>134.42080000000004</v>
      </c>
      <c r="R4" s="34" t="s">
        <v>63</v>
      </c>
      <c r="S4" s="34">
        <v>126</v>
      </c>
      <c r="T4" s="34"/>
      <c r="U4" s="34"/>
      <c r="V4" s="34">
        <v>177</v>
      </c>
      <c r="W4" s="109">
        <v>53.100000000000009</v>
      </c>
      <c r="X4" s="34"/>
      <c r="Y4" s="34">
        <v>418.75848744460865</v>
      </c>
      <c r="Z4" s="109">
        <v>418.75848744460865</v>
      </c>
      <c r="AA4" s="34"/>
      <c r="AB4" s="61">
        <v>32.17999999999995</v>
      </c>
      <c r="AC4" s="34"/>
      <c r="AD4" s="34"/>
      <c r="AE4" s="61"/>
      <c r="AF4" s="34"/>
      <c r="AG4" s="34"/>
      <c r="AH4" s="57"/>
      <c r="AI4" s="60">
        <v>21.9</v>
      </c>
      <c r="AJ4" s="59">
        <v>432</v>
      </c>
      <c r="AK4" s="59">
        <f t="shared" ref="AK4:AK15" si="0">AJ4-AI4</f>
        <v>410.1</v>
      </c>
      <c r="AL4" s="59">
        <f t="shared" ref="AL4:AL10" si="1">Z4+AI4</f>
        <v>440.65848744460862</v>
      </c>
      <c r="AM4" s="59"/>
      <c r="AN4" s="60" t="s">
        <v>138</v>
      </c>
      <c r="AO4" s="142">
        <v>0.78500000000000003</v>
      </c>
      <c r="AP4" s="59">
        <v>100</v>
      </c>
      <c r="AQ4" s="146">
        <f t="shared" ref="AQ4:AQ9" si="2">AP4*1.785</f>
        <v>178.5</v>
      </c>
      <c r="AR4" s="59">
        <v>15</v>
      </c>
      <c r="AS4" s="147">
        <f t="shared" ref="AS4:AS9" si="3">AR4*1.785</f>
        <v>26.774999999999999</v>
      </c>
      <c r="AT4" s="59">
        <v>15</v>
      </c>
      <c r="AU4" s="147">
        <f t="shared" ref="AU4" si="4">AT4*1.785</f>
        <v>26.774999999999999</v>
      </c>
    </row>
    <row r="5" spans="1:47" s="60" customFormat="1" x14ac:dyDescent="0.25">
      <c r="A5" s="32" t="s">
        <v>102</v>
      </c>
      <c r="B5" s="66"/>
      <c r="C5" s="34">
        <v>1.4385714285714313</v>
      </c>
      <c r="D5" s="61"/>
      <c r="E5" s="66">
        <v>0.61571428571428566</v>
      </c>
      <c r="F5" s="61"/>
      <c r="G5" s="66">
        <v>4.2499999999999964</v>
      </c>
      <c r="H5" s="61"/>
      <c r="I5" s="34">
        <v>1.2628571428571429</v>
      </c>
      <c r="J5" s="61"/>
      <c r="K5" s="66">
        <v>3.634285714285717</v>
      </c>
      <c r="L5" s="61"/>
      <c r="M5" s="66">
        <v>2.5757142857142838</v>
      </c>
      <c r="N5" s="34">
        <v>1.6742857142857148</v>
      </c>
      <c r="O5" s="33"/>
      <c r="P5" s="33">
        <v>357.99999999999977</v>
      </c>
      <c r="Q5" s="109">
        <v>103.71259999999999</v>
      </c>
      <c r="R5" s="34" t="s">
        <v>63</v>
      </c>
      <c r="S5" s="34">
        <v>98.857142857142804</v>
      </c>
      <c r="T5" s="34"/>
      <c r="U5" s="34"/>
      <c r="V5" s="34">
        <v>150.14285714285722</v>
      </c>
      <c r="W5" s="109">
        <v>45.042857142857116</v>
      </c>
      <c r="X5" s="34"/>
      <c r="Y5" s="34">
        <v>134.00000000000003</v>
      </c>
      <c r="Z5" s="109">
        <v>131.10662924667645</v>
      </c>
      <c r="AA5" s="34"/>
      <c r="AB5" s="61">
        <v>21.858571428571437</v>
      </c>
      <c r="AC5" s="34"/>
      <c r="AD5" s="34"/>
      <c r="AE5" s="61"/>
      <c r="AF5" s="34"/>
      <c r="AG5" s="34"/>
      <c r="AH5" s="57"/>
      <c r="AI5" s="60">
        <v>21.9</v>
      </c>
      <c r="AJ5" s="59">
        <v>432</v>
      </c>
      <c r="AK5" s="59">
        <f t="shared" si="0"/>
        <v>410.1</v>
      </c>
      <c r="AL5" s="59">
        <f t="shared" si="1"/>
        <v>153.00662924667645</v>
      </c>
      <c r="AM5" s="59"/>
      <c r="AN5" s="60" t="s">
        <v>138</v>
      </c>
      <c r="AO5" s="142">
        <v>0.78500000000000003</v>
      </c>
      <c r="AP5" s="59">
        <v>100</v>
      </c>
      <c r="AQ5" s="146">
        <f t="shared" si="2"/>
        <v>178.5</v>
      </c>
      <c r="AR5" s="59">
        <v>15</v>
      </c>
      <c r="AS5" s="147">
        <f t="shared" si="3"/>
        <v>26.774999999999999</v>
      </c>
      <c r="AT5" s="59">
        <v>15</v>
      </c>
      <c r="AU5" s="147">
        <f t="shared" ref="AU5" si="5">AT5*1.785</f>
        <v>26.774999999999999</v>
      </c>
    </row>
    <row r="6" spans="1:47" x14ac:dyDescent="0.25">
      <c r="A6" s="32" t="s">
        <v>115</v>
      </c>
      <c r="B6" s="66"/>
      <c r="C6" s="34">
        <v>1.651428571428571</v>
      </c>
      <c r="D6" s="61"/>
      <c r="E6" s="66">
        <v>0.94428571428571351</v>
      </c>
      <c r="F6" s="61"/>
      <c r="G6" s="66">
        <v>5.3500000000000005</v>
      </c>
      <c r="H6" s="61"/>
      <c r="I6" s="34">
        <v>1.1071428571428572</v>
      </c>
      <c r="J6" s="61"/>
      <c r="K6" s="66">
        <v>3.8257142857142834</v>
      </c>
      <c r="L6" s="61"/>
      <c r="M6" s="66">
        <v>2.6542857142857121</v>
      </c>
      <c r="N6" s="34">
        <v>2.6957142857142884</v>
      </c>
      <c r="O6" s="33"/>
      <c r="P6" s="33">
        <v>242</v>
      </c>
      <c r="Q6" s="109">
        <v>70.107399999999998</v>
      </c>
      <c r="R6" s="34" t="s">
        <v>63</v>
      </c>
      <c r="S6" s="34">
        <v>127.14285714285714</v>
      </c>
      <c r="T6" s="34"/>
      <c r="U6" s="34"/>
      <c r="V6" s="34">
        <v>159.85714285714286</v>
      </c>
      <c r="W6" s="109">
        <v>47.957142857142848</v>
      </c>
      <c r="X6" s="34"/>
      <c r="Y6" s="34">
        <v>59</v>
      </c>
      <c r="Z6" s="109">
        <v>57.726053175775455</v>
      </c>
      <c r="AA6" s="34"/>
      <c r="AB6" s="61">
        <v>25.361428571428593</v>
      </c>
      <c r="AC6" s="34"/>
      <c r="AD6" s="34"/>
      <c r="AE6" s="61"/>
      <c r="AF6" s="34"/>
      <c r="AG6" s="34"/>
      <c r="AH6" s="29"/>
      <c r="AI6" s="60">
        <v>21.9</v>
      </c>
      <c r="AJ6" s="59">
        <v>432</v>
      </c>
      <c r="AK6" s="59">
        <f t="shared" si="0"/>
        <v>410.1</v>
      </c>
      <c r="AL6" s="59">
        <f t="shared" si="1"/>
        <v>79.626053175775453</v>
      </c>
      <c r="AM6" s="59"/>
      <c r="AN6" s="60" t="s">
        <v>138</v>
      </c>
      <c r="AO6" s="142">
        <v>0.78500000000000003</v>
      </c>
      <c r="AP6" s="59">
        <v>100</v>
      </c>
      <c r="AQ6" s="146">
        <f t="shared" si="2"/>
        <v>178.5</v>
      </c>
      <c r="AR6" s="59">
        <v>15</v>
      </c>
      <c r="AS6" s="147">
        <f t="shared" si="3"/>
        <v>26.774999999999999</v>
      </c>
      <c r="AT6" s="59">
        <v>15</v>
      </c>
      <c r="AU6" s="147">
        <f t="shared" ref="AU6" si="6">AT6*1.785</f>
        <v>26.774999999999999</v>
      </c>
    </row>
    <row r="7" spans="1:47" x14ac:dyDescent="0.25">
      <c r="A7" s="32" t="s">
        <v>116</v>
      </c>
      <c r="B7" s="66"/>
      <c r="C7" s="34">
        <v>1.7200000000000006</v>
      </c>
      <c r="D7" s="61"/>
      <c r="E7" s="66">
        <v>0.7300000000000002</v>
      </c>
      <c r="F7" s="61"/>
      <c r="G7" s="66">
        <v>4.7400000000000055</v>
      </c>
      <c r="H7" s="61"/>
      <c r="I7" s="34">
        <v>0.15249999999999941</v>
      </c>
      <c r="J7" s="61"/>
      <c r="K7" s="66">
        <v>4.8924999999999983</v>
      </c>
      <c r="L7" s="61"/>
      <c r="M7" s="66">
        <v>2.9399999999999977</v>
      </c>
      <c r="N7" s="34">
        <v>1.8000000000000078</v>
      </c>
      <c r="O7" s="33"/>
      <c r="P7" s="33">
        <v>263</v>
      </c>
      <c r="Q7" s="109">
        <v>76.191099999999992</v>
      </c>
      <c r="R7" s="34" t="s">
        <v>63</v>
      </c>
      <c r="S7" s="34">
        <v>115</v>
      </c>
      <c r="T7" s="34"/>
      <c r="U7" s="34"/>
      <c r="V7" s="34">
        <v>146</v>
      </c>
      <c r="W7" s="109">
        <v>42.6</v>
      </c>
      <c r="X7" s="34"/>
      <c r="Y7" s="34">
        <v>36</v>
      </c>
      <c r="Z7" s="109">
        <v>33.265861152141781</v>
      </c>
      <c r="AA7" s="34"/>
      <c r="AB7" s="61">
        <v>24.100000000000023</v>
      </c>
      <c r="AC7" s="34"/>
      <c r="AD7" s="34">
        <v>17.214999999999996</v>
      </c>
      <c r="AE7" s="61"/>
      <c r="AF7" s="34">
        <v>2.039999999999992</v>
      </c>
      <c r="AG7" s="34"/>
      <c r="AH7" s="29"/>
      <c r="AI7" s="60">
        <v>21.9</v>
      </c>
      <c r="AJ7" s="59">
        <v>432</v>
      </c>
      <c r="AK7" s="59">
        <f t="shared" si="0"/>
        <v>410.1</v>
      </c>
      <c r="AL7" s="59">
        <f t="shared" si="1"/>
        <v>55.16586115214178</v>
      </c>
      <c r="AM7" s="59"/>
      <c r="AN7" s="60" t="s">
        <v>138</v>
      </c>
      <c r="AO7" s="142">
        <v>0.78500000000000003</v>
      </c>
      <c r="AP7" s="59">
        <v>100</v>
      </c>
      <c r="AQ7" s="146">
        <f t="shared" si="2"/>
        <v>178.5</v>
      </c>
      <c r="AR7" s="59">
        <v>15</v>
      </c>
      <c r="AS7" s="147">
        <f t="shared" si="3"/>
        <v>26.774999999999999</v>
      </c>
      <c r="AT7" s="59">
        <v>15</v>
      </c>
      <c r="AU7" s="147">
        <f t="shared" ref="AU7" si="7">AT7*1.785</f>
        <v>26.774999999999999</v>
      </c>
    </row>
    <row r="8" spans="1:47" x14ac:dyDescent="0.25">
      <c r="A8" s="32" t="s">
        <v>117</v>
      </c>
      <c r="B8" s="66"/>
      <c r="C8" s="34">
        <v>1.9800000000000004</v>
      </c>
      <c r="D8" s="61"/>
      <c r="E8" s="66">
        <v>0.57000000000000028</v>
      </c>
      <c r="F8" s="61"/>
      <c r="G8" s="66">
        <v>3.2199999999999989</v>
      </c>
      <c r="H8" s="61"/>
      <c r="I8" s="34">
        <v>0.10000000000000009</v>
      </c>
      <c r="J8" s="61"/>
      <c r="K8" s="66">
        <v>3.9900000000000091</v>
      </c>
      <c r="L8" s="61"/>
      <c r="M8" s="66">
        <v>1.7800000000000011</v>
      </c>
      <c r="N8" s="34">
        <v>1.4399999999999977</v>
      </c>
      <c r="O8" s="116"/>
      <c r="P8" s="33">
        <v>245.00000000000003</v>
      </c>
      <c r="Q8" s="109">
        <v>70.976499999999987</v>
      </c>
      <c r="R8" s="116" t="s">
        <v>63</v>
      </c>
      <c r="S8" s="34">
        <v>115.96000000000021</v>
      </c>
      <c r="T8" s="34"/>
      <c r="U8" s="34"/>
      <c r="V8" s="34">
        <v>133</v>
      </c>
      <c r="W8" s="109">
        <v>38.399999999999984</v>
      </c>
      <c r="X8" s="34"/>
      <c r="Y8" s="34">
        <v>25</v>
      </c>
      <c r="Z8" s="109">
        <v>22.524968980797624</v>
      </c>
      <c r="AA8" s="34"/>
      <c r="AB8" s="61">
        <v>21.07000000000005</v>
      </c>
      <c r="AC8" s="34"/>
      <c r="AD8" s="34">
        <v>13.180000000000001</v>
      </c>
      <c r="AE8" s="61"/>
      <c r="AF8" s="34">
        <v>1.539999999999992</v>
      </c>
      <c r="AG8" s="34"/>
      <c r="AH8" s="29"/>
      <c r="AI8" s="60">
        <v>21.9</v>
      </c>
      <c r="AJ8" s="59">
        <v>432</v>
      </c>
      <c r="AK8" s="59">
        <f t="shared" si="0"/>
        <v>410.1</v>
      </c>
      <c r="AL8" s="59">
        <f t="shared" si="1"/>
        <v>44.424968980797622</v>
      </c>
      <c r="AM8" s="59"/>
      <c r="AN8" s="60" t="s">
        <v>138</v>
      </c>
      <c r="AO8" s="142">
        <v>0.78500000000000003</v>
      </c>
      <c r="AP8" s="59">
        <v>100</v>
      </c>
      <c r="AQ8" s="146">
        <f t="shared" si="2"/>
        <v>178.5</v>
      </c>
      <c r="AR8" s="59">
        <v>15</v>
      </c>
      <c r="AS8" s="147">
        <f t="shared" si="3"/>
        <v>26.774999999999999</v>
      </c>
      <c r="AT8" s="59">
        <v>15</v>
      </c>
      <c r="AU8" s="147">
        <f t="shared" ref="AU8" si="8">AT8*1.785</f>
        <v>26.774999999999999</v>
      </c>
    </row>
    <row r="9" spans="1:47" x14ac:dyDescent="0.25">
      <c r="A9" s="32" t="s">
        <v>141</v>
      </c>
      <c r="B9" s="66"/>
      <c r="C9" s="34">
        <v>0.53999999999999915</v>
      </c>
      <c r="D9" s="61"/>
      <c r="E9" s="66">
        <v>0.48000000000000043</v>
      </c>
      <c r="F9" s="61"/>
      <c r="G9" s="66">
        <v>4.1299999999999955</v>
      </c>
      <c r="H9" s="61"/>
      <c r="I9" s="34">
        <v>0.10000000000000009</v>
      </c>
      <c r="J9" s="61"/>
      <c r="K9" s="66">
        <v>4.3899999999999864</v>
      </c>
      <c r="L9" s="61"/>
      <c r="M9" s="66">
        <v>2.4399999999999977</v>
      </c>
      <c r="N9" s="34">
        <v>1.6899999999999977</v>
      </c>
      <c r="O9" s="116"/>
      <c r="P9" s="33">
        <v>294</v>
      </c>
      <c r="Q9" s="109">
        <v>85.171800000000005</v>
      </c>
      <c r="R9" s="116" t="s">
        <v>63</v>
      </c>
      <c r="S9" s="34">
        <v>106</v>
      </c>
      <c r="T9" s="34"/>
      <c r="U9" s="34"/>
      <c r="V9" s="34">
        <v>208</v>
      </c>
      <c r="W9" s="109">
        <v>22.499999999999996</v>
      </c>
      <c r="X9" s="34"/>
      <c r="Y9" s="34">
        <v>90</v>
      </c>
      <c r="Z9" s="109">
        <v>63.596499261447562</v>
      </c>
      <c r="AA9" s="34"/>
      <c r="AB9" s="61">
        <v>16.789999999999964</v>
      </c>
      <c r="AC9" s="34"/>
      <c r="AD9" s="34">
        <v>13.939999999999964</v>
      </c>
      <c r="AE9" s="61"/>
      <c r="AF9" s="34">
        <v>1.8599999999999852</v>
      </c>
      <c r="AG9" s="34"/>
      <c r="AI9" s="60">
        <v>21.9</v>
      </c>
      <c r="AJ9" s="59">
        <v>432</v>
      </c>
      <c r="AK9" s="59">
        <f t="shared" si="0"/>
        <v>410.1</v>
      </c>
      <c r="AL9" s="59">
        <f t="shared" si="1"/>
        <v>85.496499261447553</v>
      </c>
      <c r="AM9" s="59"/>
      <c r="AN9" s="60" t="s">
        <v>138</v>
      </c>
      <c r="AO9" s="142">
        <v>0.78500000000000003</v>
      </c>
      <c r="AP9" s="59">
        <v>100</v>
      </c>
      <c r="AQ9" s="146">
        <f t="shared" si="2"/>
        <v>178.5</v>
      </c>
      <c r="AR9" s="59">
        <v>15</v>
      </c>
      <c r="AS9" s="147">
        <f t="shared" si="3"/>
        <v>26.774999999999999</v>
      </c>
      <c r="AT9" s="59">
        <v>15</v>
      </c>
      <c r="AU9" s="147">
        <f t="shared" ref="AU9" si="9">AT9*1.785</f>
        <v>26.774999999999999</v>
      </c>
    </row>
    <row r="10" spans="1:47" x14ac:dyDescent="0.25">
      <c r="A10" s="32" t="s">
        <v>142</v>
      </c>
      <c r="B10" s="66"/>
      <c r="C10" s="34">
        <v>1.3000000000000034</v>
      </c>
      <c r="D10" s="61"/>
      <c r="E10" s="66">
        <v>0.50999999999999956</v>
      </c>
      <c r="F10" s="61"/>
      <c r="G10" s="66">
        <v>4.2000000000000064</v>
      </c>
      <c r="H10" s="61"/>
      <c r="I10" s="34">
        <v>0.10999999999999965</v>
      </c>
      <c r="J10" s="61"/>
      <c r="K10" s="66">
        <v>3.2500000000000071</v>
      </c>
      <c r="L10" s="61"/>
      <c r="M10" s="66">
        <v>2.3799999999999972</v>
      </c>
      <c r="N10" s="34">
        <v>1.8200000000000092</v>
      </c>
      <c r="O10" s="116"/>
      <c r="P10" s="129">
        <v>236.44</v>
      </c>
      <c r="Q10" s="109">
        <v>68.496668</v>
      </c>
      <c r="R10" s="116" t="s">
        <v>63</v>
      </c>
      <c r="S10" s="34">
        <v>120</v>
      </c>
      <c r="T10" s="34"/>
      <c r="U10" s="34"/>
      <c r="V10" s="34">
        <v>162</v>
      </c>
      <c r="W10" s="109">
        <v>47.4</v>
      </c>
      <c r="X10" s="34"/>
      <c r="Y10" s="34">
        <v>115</v>
      </c>
      <c r="Z10" s="109">
        <v>142.31616395864106</v>
      </c>
      <c r="AA10" s="34"/>
      <c r="AB10" s="61">
        <v>18.339999999999989</v>
      </c>
      <c r="AC10" s="34"/>
      <c r="AD10" s="34">
        <v>11.750000000000012</v>
      </c>
      <c r="AE10" s="61"/>
      <c r="AF10" s="34">
        <v>0</v>
      </c>
      <c r="AG10" s="34"/>
      <c r="AI10" s="60">
        <v>21.9</v>
      </c>
      <c r="AJ10" s="59">
        <v>432</v>
      </c>
      <c r="AK10" s="59">
        <f t="shared" si="0"/>
        <v>410.1</v>
      </c>
      <c r="AL10" s="59">
        <f t="shared" ref="AL10" si="10">Z10+AI10</f>
        <v>164.21616395864106</v>
      </c>
      <c r="AM10" s="59"/>
      <c r="AN10" s="60" t="s">
        <v>139</v>
      </c>
      <c r="AO10" s="143">
        <v>0.33</v>
      </c>
      <c r="AP10" s="59">
        <v>178.5</v>
      </c>
      <c r="AQ10" s="147">
        <f>AP10*1.33</f>
        <v>237.405</v>
      </c>
      <c r="AR10" s="59">
        <v>26.78</v>
      </c>
      <c r="AS10" s="147">
        <f>AR10*1.33</f>
        <v>35.617400000000004</v>
      </c>
      <c r="AT10" s="59">
        <v>26.78</v>
      </c>
      <c r="AU10" s="147">
        <f>AT10*1.33</f>
        <v>35.617400000000004</v>
      </c>
    </row>
    <row r="11" spans="1:47" x14ac:dyDescent="0.25">
      <c r="Z11" s="137">
        <v>418.75848744460865</v>
      </c>
      <c r="AA11" t="s">
        <v>118</v>
      </c>
      <c r="AI11" s="60">
        <v>21.9</v>
      </c>
      <c r="AJ11" s="59">
        <v>432</v>
      </c>
      <c r="AK11" s="59">
        <f t="shared" si="0"/>
        <v>410.1</v>
      </c>
      <c r="AL11" s="139">
        <f t="shared" ref="AL11:AL15" si="11">Z11*1.36+AI11</f>
        <v>591.41154292466774</v>
      </c>
      <c r="AM11" s="139"/>
      <c r="AN11" s="60" t="s">
        <v>139</v>
      </c>
      <c r="AO11" s="143">
        <v>0.33</v>
      </c>
      <c r="AP11" s="59">
        <v>178.5</v>
      </c>
      <c r="AQ11" s="59">
        <f t="shared" ref="AQ11:AQ15" si="12">AP11*1.33</f>
        <v>237.405</v>
      </c>
      <c r="AR11" s="59">
        <v>26.78</v>
      </c>
      <c r="AS11" s="9">
        <f t="shared" ref="AS11:AU15" si="13">AR11*1.33</f>
        <v>35.617400000000004</v>
      </c>
      <c r="AT11" s="59">
        <v>26.78</v>
      </c>
      <c r="AU11" s="9">
        <f t="shared" si="13"/>
        <v>35.617400000000004</v>
      </c>
    </row>
    <row r="12" spans="1:47" x14ac:dyDescent="0.25">
      <c r="Z12" s="137">
        <v>418.75848744460865</v>
      </c>
      <c r="AA12" t="s">
        <v>119</v>
      </c>
      <c r="AI12" s="60">
        <v>21.9</v>
      </c>
      <c r="AJ12" s="59">
        <v>432</v>
      </c>
      <c r="AK12" s="59">
        <f t="shared" si="0"/>
        <v>410.1</v>
      </c>
      <c r="AL12" s="139">
        <f t="shared" si="11"/>
        <v>591.41154292466774</v>
      </c>
      <c r="AM12" s="139"/>
      <c r="AN12" s="60" t="s">
        <v>139</v>
      </c>
      <c r="AO12" s="143">
        <v>0.33</v>
      </c>
      <c r="AP12" s="59">
        <v>178.5</v>
      </c>
      <c r="AQ12" s="59">
        <f t="shared" si="12"/>
        <v>237.405</v>
      </c>
      <c r="AR12" s="59">
        <v>26.78</v>
      </c>
      <c r="AS12" s="9">
        <f t="shared" si="13"/>
        <v>35.617400000000004</v>
      </c>
      <c r="AT12" s="59">
        <v>26.78</v>
      </c>
      <c r="AU12" s="9">
        <f t="shared" si="13"/>
        <v>35.617400000000004</v>
      </c>
    </row>
    <row r="13" spans="1:47" x14ac:dyDescent="0.25">
      <c r="Z13" s="137">
        <v>486.26861742983749</v>
      </c>
      <c r="AA13" s="141">
        <v>44927</v>
      </c>
      <c r="AI13" s="60">
        <v>21.9</v>
      </c>
      <c r="AJ13" s="59">
        <v>432</v>
      </c>
      <c r="AK13" s="59">
        <f t="shared" si="0"/>
        <v>410.1</v>
      </c>
      <c r="AL13" s="139">
        <f t="shared" si="11"/>
        <v>683.22531970457896</v>
      </c>
      <c r="AM13" s="139"/>
      <c r="AN13" s="60" t="s">
        <v>139</v>
      </c>
      <c r="AO13" s="143">
        <v>0.33</v>
      </c>
      <c r="AP13" s="59">
        <v>178.5</v>
      </c>
      <c r="AQ13" s="59">
        <f t="shared" si="12"/>
        <v>237.405</v>
      </c>
      <c r="AR13" s="59">
        <v>26.78</v>
      </c>
      <c r="AS13" s="9">
        <f t="shared" si="13"/>
        <v>35.617400000000004</v>
      </c>
      <c r="AT13" s="59">
        <v>26.78</v>
      </c>
      <c r="AU13" s="9">
        <f t="shared" si="13"/>
        <v>35.617400000000004</v>
      </c>
    </row>
    <row r="14" spans="1:47" x14ac:dyDescent="0.25">
      <c r="Z14" s="137">
        <v>486.26861742983749</v>
      </c>
      <c r="AA14" s="141">
        <v>44958</v>
      </c>
      <c r="AI14" s="60">
        <v>21.9</v>
      </c>
      <c r="AJ14" s="59">
        <v>432</v>
      </c>
      <c r="AK14" s="59">
        <f t="shared" si="0"/>
        <v>410.1</v>
      </c>
      <c r="AL14" s="139">
        <f t="shared" si="11"/>
        <v>683.22531970457896</v>
      </c>
      <c r="AM14" s="139"/>
      <c r="AN14" s="60" t="s">
        <v>139</v>
      </c>
      <c r="AO14" s="143">
        <v>0.33</v>
      </c>
      <c r="AP14" s="59">
        <v>178.5</v>
      </c>
      <c r="AQ14" s="59">
        <f t="shared" si="12"/>
        <v>237.405</v>
      </c>
      <c r="AR14" s="59">
        <v>26.78</v>
      </c>
      <c r="AS14" s="9">
        <f t="shared" si="13"/>
        <v>35.617400000000004</v>
      </c>
      <c r="AT14" s="59">
        <v>26.78</v>
      </c>
      <c r="AU14" s="9">
        <f t="shared" si="13"/>
        <v>35.617400000000004</v>
      </c>
    </row>
    <row r="15" spans="1:47" x14ac:dyDescent="0.25">
      <c r="Z15" s="137">
        <v>486.26861742983749</v>
      </c>
      <c r="AA15" s="141">
        <v>44986</v>
      </c>
      <c r="AI15" s="60">
        <v>21.9</v>
      </c>
      <c r="AJ15" s="59">
        <v>432</v>
      </c>
      <c r="AK15" s="59">
        <f t="shared" si="0"/>
        <v>410.1</v>
      </c>
      <c r="AL15" s="139">
        <f t="shared" si="11"/>
        <v>683.22531970457896</v>
      </c>
      <c r="AM15" s="139"/>
      <c r="AN15" s="60" t="s">
        <v>139</v>
      </c>
      <c r="AO15" s="143">
        <v>0.33</v>
      </c>
      <c r="AP15" s="59">
        <v>178.5</v>
      </c>
      <c r="AQ15" s="59">
        <f t="shared" si="12"/>
        <v>237.405</v>
      </c>
      <c r="AR15" s="59">
        <v>26.78</v>
      </c>
      <c r="AS15" s="9">
        <f t="shared" si="13"/>
        <v>35.617400000000004</v>
      </c>
      <c r="AT15" s="59">
        <v>26.78</v>
      </c>
      <c r="AU15" s="9">
        <f t="shared" si="13"/>
        <v>35.617400000000004</v>
      </c>
    </row>
    <row r="16" spans="1:47" x14ac:dyDescent="0.25">
      <c r="AJ16" s="9">
        <f>SUM(AJ3:AJ15)</f>
        <v>5616</v>
      </c>
      <c r="AL16" s="9">
        <f>SUM(AL3:AL15)</f>
        <v>4763.2623256129982</v>
      </c>
    </row>
    <row r="17" spans="36:36" x14ac:dyDescent="0.25">
      <c r="AJ17" s="9">
        <f>AJ16-2673</f>
        <v>2943</v>
      </c>
    </row>
    <row r="18" spans="36:36" x14ac:dyDescent="0.25">
      <c r="AJ18" s="9">
        <f>AJ17-401-401</f>
        <v>2141</v>
      </c>
    </row>
  </sheetData>
  <phoneticPr fontId="8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C145-BBA2-4316-9100-D79E514A0670}">
  <dimension ref="B3:D11"/>
  <sheetViews>
    <sheetView workbookViewId="0">
      <selection activeCell="E5" sqref="E5"/>
    </sheetView>
  </sheetViews>
  <sheetFormatPr baseColWidth="10" defaultRowHeight="15" x14ac:dyDescent="0.25"/>
  <cols>
    <col min="4" max="4" width="29.42578125" customWidth="1"/>
  </cols>
  <sheetData>
    <row r="3" spans="2:4" ht="30" x14ac:dyDescent="0.25">
      <c r="B3" t="s">
        <v>58</v>
      </c>
      <c r="D3" s="11" t="s">
        <v>84</v>
      </c>
    </row>
    <row r="5" spans="2:4" x14ac:dyDescent="0.25">
      <c r="B5" t="s">
        <v>57</v>
      </c>
      <c r="D5" t="s">
        <v>78</v>
      </c>
    </row>
    <row r="6" spans="2:4" x14ac:dyDescent="0.25">
      <c r="D6" t="s">
        <v>79</v>
      </c>
    </row>
    <row r="8" spans="2:4" x14ac:dyDescent="0.25">
      <c r="D8" t="s">
        <v>80</v>
      </c>
    </row>
    <row r="9" spans="2:4" x14ac:dyDescent="0.25">
      <c r="D9" t="s">
        <v>81</v>
      </c>
    </row>
    <row r="10" spans="2:4" x14ac:dyDescent="0.25">
      <c r="D10" t="s">
        <v>82</v>
      </c>
    </row>
    <row r="11" spans="2:4" x14ac:dyDescent="0.25">
      <c r="D11" t="s">
        <v>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Zählerübersicht</vt:lpstr>
      <vt:lpstr>Zähler</vt:lpstr>
      <vt:lpstr>Monatsverbräuche</vt:lpstr>
      <vt:lpstr>Verbrauchsabrechnung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2022-07-11T06:03:56Z</cp:lastPrinted>
  <dcterms:created xsi:type="dcterms:W3CDTF">2021-09-05T10:43:35Z</dcterms:created>
  <dcterms:modified xsi:type="dcterms:W3CDTF">2022-11-07T06:11:46Z</dcterms:modified>
</cp:coreProperties>
</file>